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mvho-my.sharepoint.com/personal/drobinson_mvho_org/Documents/Documents/"/>
    </mc:Choice>
  </mc:AlternateContent>
  <xr:revisionPtr revIDLastSave="0" documentId="8_{E453531C-E9D2-4D66-A334-43C84F6DF3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COST DETAIL" sheetId="2" r:id="rId2"/>
    <sheet name="construction contract" sheetId="17" state="hidden" r:id="rId3"/>
    <sheet name="OHFA TIE-BREAK SCORING" sheetId="18" state="hidden" r:id="rId4"/>
    <sheet name="CONST CONTRACT - SCH OF VALUE" sheetId="12" state="hidden" r:id="rId5"/>
    <sheet name="SUMMARY PROFORMA" sheetId="3" state="hidden" r:id="rId6"/>
    <sheet name="OPERATING PROJECTIONS" sheetId="15" state="hidden" r:id="rId7"/>
    <sheet name="FHLB SCORING" sheetId="16" state="hidden" r:id="rId8"/>
    <sheet name="OHFA compliance review" sheetId="7" state="hidden" r:id="rId9"/>
    <sheet name="LEASE UP OPERATING EXPENSES" sheetId="4" state="hidden" r:id="rId10"/>
    <sheet name="Summary _ Original" sheetId="5" state="hidden" r:id="rId11"/>
  </sheets>
  <externalReferences>
    <externalReference r:id="rId12"/>
  </externalReferences>
  <definedNames>
    <definedName name="ELI">'OHFA TIE-BREAK SCORING'!$B$94:$C$104</definedName>
    <definedName name="LIHTC_PER">'OHFA TIE-BREAK SCORING'!$B$70:$C$80</definedName>
    <definedName name="LIHTC_PER_UNIT">'OHFA TIE-BREAK SCORING'!$B$71:$C$80</definedName>
    <definedName name="_xlnm.Print_Area" localSheetId="4">'CONST CONTRACT - SCH OF VALUE'!$A$21:$G$66</definedName>
    <definedName name="_xlnm.Print_Area" localSheetId="2">'construction contract'!$A$1:$I$102</definedName>
    <definedName name="_xlnm.Print_Area" localSheetId="1">'COST DETAIL'!$A$1:$E$118</definedName>
    <definedName name="_xlnm.Print_Area" localSheetId="7">'FHLB SCORING'!$A$1:$G$113</definedName>
    <definedName name="_xlnm.Print_Area" localSheetId="0">SUMMARY!$A$1:$L$127</definedName>
    <definedName name="_xlnm.Print_Area" localSheetId="5">'SUMMARY PROFORMA'!$A$1:$L$86</definedName>
    <definedName name="_xlnm.Print_Titles" localSheetId="1">'COST DETAIL'!$1:$3</definedName>
    <definedName name="_xlnm.Print_Titles" localSheetId="7">'FHLB SCORING'!$1:$9</definedName>
    <definedName name="_xlnm.Print_Titles" localSheetId="0">SUMMARY!$1:$3</definedName>
    <definedName name="solver_adj" localSheetId="1" hidden="1">'COST DETAIL'!$F$11</definedName>
    <definedName name="solver_adj" localSheetId="0" hidden="1">SUMMARY!$E$134</definedName>
    <definedName name="solver_adj" localSheetId="5" hidden="1">'SUMMARY PROFORMA'!$C$64</definedName>
    <definedName name="solver_cvg" localSheetId="1" hidden="1">0.0001</definedName>
    <definedName name="solver_cvg" localSheetId="0" hidden="1">0.0001</definedName>
    <definedName name="solver_cvg" localSheetId="5" hidden="1">0.0001</definedName>
    <definedName name="solver_drv" localSheetId="1" hidden="1">1</definedName>
    <definedName name="solver_drv" localSheetId="0" hidden="1">1</definedName>
    <definedName name="solver_drv" localSheetId="5" hidden="1">1</definedName>
    <definedName name="solver_eng" localSheetId="1" hidden="1">1</definedName>
    <definedName name="solver_eng" localSheetId="0" hidden="1">1</definedName>
    <definedName name="solver_eng" localSheetId="5" hidden="1">1</definedName>
    <definedName name="solver_est" localSheetId="1" hidden="1">1</definedName>
    <definedName name="solver_est" localSheetId="0" hidden="1">1</definedName>
    <definedName name="solver_est" localSheetId="5" hidden="1">1</definedName>
    <definedName name="solver_itr" localSheetId="1" hidden="1">2147483647</definedName>
    <definedName name="solver_itr" localSheetId="0" hidden="1">2147483647</definedName>
    <definedName name="solver_itr" localSheetId="5" hidden="1">2147483647</definedName>
    <definedName name="solver_mip" localSheetId="1" hidden="1">2147483647</definedName>
    <definedName name="solver_mip" localSheetId="0" hidden="1">2147483647</definedName>
    <definedName name="solver_mip" localSheetId="5" hidden="1">2147483647</definedName>
    <definedName name="solver_mni" localSheetId="1" hidden="1">30</definedName>
    <definedName name="solver_mni" localSheetId="0" hidden="1">30</definedName>
    <definedName name="solver_mni" localSheetId="5" hidden="1">30</definedName>
    <definedName name="solver_mrt" localSheetId="1" hidden="1">0.075</definedName>
    <definedName name="solver_mrt" localSheetId="0" hidden="1">0.075</definedName>
    <definedName name="solver_mrt" localSheetId="5" hidden="1">0.075</definedName>
    <definedName name="solver_msl" localSheetId="1" hidden="1">2</definedName>
    <definedName name="solver_msl" localSheetId="0" hidden="1">2</definedName>
    <definedName name="solver_msl" localSheetId="5" hidden="1">2</definedName>
    <definedName name="solver_neg" localSheetId="1" hidden="1">1</definedName>
    <definedName name="solver_neg" localSheetId="0" hidden="1">1</definedName>
    <definedName name="solver_neg" localSheetId="5" hidden="1">1</definedName>
    <definedName name="solver_nod" localSheetId="1" hidden="1">2147483647</definedName>
    <definedName name="solver_nod" localSheetId="0" hidden="1">2147483647</definedName>
    <definedName name="solver_nod" localSheetId="5" hidden="1">2147483647</definedName>
    <definedName name="solver_num" localSheetId="1" hidden="1">0</definedName>
    <definedName name="solver_num" localSheetId="0" hidden="1">0</definedName>
    <definedName name="solver_num" localSheetId="5" hidden="1">0</definedName>
    <definedName name="solver_nwt" localSheetId="1" hidden="1">1</definedName>
    <definedName name="solver_nwt" localSheetId="0" hidden="1">1</definedName>
    <definedName name="solver_nwt" localSheetId="5" hidden="1">1</definedName>
    <definedName name="solver_opt" localSheetId="1" hidden="1">'COST DETAIL'!$F$15</definedName>
    <definedName name="solver_opt" localSheetId="0" hidden="1">SUMMARY!$F$83</definedName>
    <definedName name="solver_opt" localSheetId="5" hidden="1">'SUMMARY PROFORMA'!$R$99</definedName>
    <definedName name="solver_pre" localSheetId="1" hidden="1">0.000001</definedName>
    <definedName name="solver_pre" localSheetId="0" hidden="1">0.000001</definedName>
    <definedName name="solver_pre" localSheetId="5" hidden="1">0.000001</definedName>
    <definedName name="solver_rbv" localSheetId="1" hidden="1">1</definedName>
    <definedName name="solver_rbv" localSheetId="0" hidden="1">1</definedName>
    <definedName name="solver_rbv" localSheetId="5" hidden="1">1</definedName>
    <definedName name="solver_rlx" localSheetId="1" hidden="1">2</definedName>
    <definedName name="solver_rlx" localSheetId="0" hidden="1">2</definedName>
    <definedName name="solver_rlx" localSheetId="5" hidden="1">2</definedName>
    <definedName name="solver_rsd" localSheetId="1" hidden="1">0</definedName>
    <definedName name="solver_rsd" localSheetId="0" hidden="1">0</definedName>
    <definedName name="solver_rsd" localSheetId="5" hidden="1">0</definedName>
    <definedName name="solver_scl" localSheetId="1" hidden="1">1</definedName>
    <definedName name="solver_scl" localSheetId="0" hidden="1">1</definedName>
    <definedName name="solver_scl" localSheetId="5" hidden="1">1</definedName>
    <definedName name="solver_sho" localSheetId="1" hidden="1">2</definedName>
    <definedName name="solver_sho" localSheetId="0" hidden="1">2</definedName>
    <definedName name="solver_sho" localSheetId="5" hidden="1">2</definedName>
    <definedName name="solver_ssz" localSheetId="1" hidden="1">100</definedName>
    <definedName name="solver_ssz" localSheetId="0" hidden="1">100</definedName>
    <definedName name="solver_ssz" localSheetId="5" hidden="1">100</definedName>
    <definedName name="solver_tim" localSheetId="1" hidden="1">2147483647</definedName>
    <definedName name="solver_tim" localSheetId="0" hidden="1">2147483647</definedName>
    <definedName name="solver_tim" localSheetId="5" hidden="1">2147483647</definedName>
    <definedName name="solver_tol" localSheetId="1" hidden="1">0.01</definedName>
    <definedName name="solver_tol" localSheetId="0" hidden="1">0.01</definedName>
    <definedName name="solver_tol" localSheetId="5" hidden="1">0.01</definedName>
    <definedName name="solver_typ" localSheetId="1" hidden="1">3</definedName>
    <definedName name="solver_typ" localSheetId="0" hidden="1">3</definedName>
    <definedName name="solver_typ" localSheetId="5" hidden="1">3</definedName>
    <definedName name="solver_val" localSheetId="1" hidden="1">100000</definedName>
    <definedName name="solver_val" localSheetId="0" hidden="1">100000</definedName>
    <definedName name="solver_val" localSheetId="5" hidden="1">1.1</definedName>
    <definedName name="solver_ver" localSheetId="1" hidden="1">3</definedName>
    <definedName name="solver_ver" localSheetId="0" hidden="1">3</definedName>
    <definedName name="solver_ver" localSheetId="5" hidden="1">3</definedName>
    <definedName name="TDC">'OHFA TIE-BREAK SCORING'!$B$58:$C$68</definedName>
    <definedName name="TDC_PER_NET_RENTABLE">'OHFA TIE-BREAK SCORING'!$B$58:$C$68</definedName>
    <definedName name="TDC_PER_UNIT">'OHFA TIE-BREAK SCORING'!$B$82:$C$92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8" i="2"/>
  <c r="F30" i="1"/>
  <c r="B74" i="1"/>
  <c r="B75" i="1"/>
  <c r="D74" i="1"/>
  <c r="D73" i="1"/>
  <c r="D76" i="1" s="1"/>
  <c r="B73" i="1"/>
  <c r="C9" i="2"/>
  <c r="D9" i="2" s="1"/>
  <c r="D78" i="1" l="1"/>
  <c r="F26" i="1"/>
  <c r="D74" i="2"/>
  <c r="F47" i="1" l="1"/>
  <c r="D41" i="2"/>
  <c r="D10" i="2"/>
  <c r="H20" i="17"/>
  <c r="C44" i="2"/>
  <c r="D46" i="2" l="1"/>
  <c r="I88" i="17"/>
  <c r="I85" i="17"/>
  <c r="I78" i="17"/>
  <c r="I75" i="17"/>
  <c r="I72" i="17"/>
  <c r="I68" i="17"/>
  <c r="I64" i="17"/>
  <c r="I56" i="17"/>
  <c r="I51" i="17"/>
  <c r="I44" i="17"/>
  <c r="I36" i="17"/>
  <c r="I33" i="17"/>
  <c r="I30" i="17"/>
  <c r="J30" i="17" l="1"/>
  <c r="I90" i="17"/>
  <c r="I92" i="17" l="1"/>
  <c r="H93" i="17" s="1"/>
  <c r="B12" i="3"/>
  <c r="H95" i="17" l="1"/>
  <c r="H94" i="17"/>
  <c r="I96" i="17" s="1"/>
  <c r="I98" i="17" s="1"/>
  <c r="F58" i="12" l="1"/>
  <c r="G61" i="12"/>
  <c r="G60" i="12"/>
  <c r="F66" i="12"/>
  <c r="F57" i="12"/>
  <c r="G53" i="12" s="1"/>
  <c r="G66" i="12" l="1"/>
  <c r="G36" i="12"/>
  <c r="G46" i="12"/>
  <c r="G38" i="12"/>
  <c r="G40" i="12"/>
  <c r="G42" i="12"/>
  <c r="G41" i="12"/>
  <c r="G47" i="12"/>
  <c r="G39" i="12"/>
  <c r="G45" i="12"/>
  <c r="G37" i="12"/>
  <c r="G44" i="12"/>
  <c r="G43" i="12"/>
  <c r="G35" i="12"/>
  <c r="G52" i="12"/>
  <c r="G51" i="12"/>
  <c r="G50" i="12"/>
  <c r="G49" i="12"/>
  <c r="G48" i="12"/>
  <c r="G34" i="12"/>
  <c r="G33" i="12"/>
  <c r="G32" i="12"/>
  <c r="G31" i="12"/>
  <c r="G30" i="12"/>
  <c r="G29" i="12"/>
  <c r="G28" i="12"/>
  <c r="G27" i="12"/>
  <c r="G23" i="12"/>
  <c r="G26" i="12"/>
  <c r="G55" i="12"/>
  <c r="G25" i="12"/>
  <c r="G54" i="12"/>
  <c r="G24" i="12"/>
  <c r="G57" i="12" l="1"/>
  <c r="D14" i="3" l="1"/>
  <c r="D13" i="3"/>
  <c r="D12" i="3"/>
  <c r="E90" i="3"/>
  <c r="B13" i="3"/>
  <c r="B14" i="3" s="1"/>
  <c r="B22" i="3" l="1"/>
  <c r="E89" i="3" s="1"/>
  <c r="E91" i="3" s="1"/>
  <c r="F90" i="3" l="1"/>
  <c r="F91" i="3" s="1"/>
  <c r="C188" i="16"/>
  <c r="C154" i="16"/>
  <c r="C152" i="16"/>
  <c r="C144" i="16"/>
  <c r="C147" i="16" s="1"/>
  <c r="C128" i="16"/>
  <c r="L16" i="1"/>
  <c r="L17" i="1"/>
  <c r="L21" i="1"/>
  <c r="L23" i="1"/>
  <c r="L24" i="1"/>
  <c r="L35" i="1"/>
  <c r="L36" i="1"/>
  <c r="L39" i="1"/>
  <c r="L42" i="1"/>
  <c r="L44" i="1"/>
  <c r="L49" i="1"/>
  <c r="L50" i="1"/>
  <c r="L52" i="1"/>
  <c r="L53" i="1"/>
  <c r="L56" i="1"/>
  <c r="L57" i="1"/>
  <c r="L60" i="1"/>
  <c r="L61" i="1"/>
  <c r="L63" i="1"/>
  <c r="L64" i="1"/>
  <c r="D44" i="15" l="1"/>
  <c r="A3" i="18"/>
  <c r="G42" i="18"/>
  <c r="B89" i="18"/>
  <c r="B90" i="18" s="1"/>
  <c r="B91" i="18" s="1"/>
  <c r="B92" i="18" s="1"/>
  <c r="G8" i="18"/>
  <c r="A1" i="18" l="1"/>
  <c r="F10" i="3" l="1"/>
  <c r="F9" i="3"/>
  <c r="D73" i="16" l="1"/>
  <c r="F103" i="16"/>
  <c r="F104" i="16"/>
  <c r="F105" i="16"/>
  <c r="F106" i="16"/>
  <c r="F107" i="16"/>
  <c r="F108" i="16"/>
  <c r="F109" i="16"/>
  <c r="F102" i="16"/>
  <c r="F96" i="16"/>
  <c r="F87" i="16"/>
  <c r="F80" i="16"/>
  <c r="C112" i="16"/>
  <c r="D105" i="16"/>
  <c r="D110" i="16" s="1"/>
  <c r="F74" i="16"/>
  <c r="F75" i="16"/>
  <c r="F77" i="16"/>
  <c r="F73" i="16"/>
  <c r="F72" i="16"/>
  <c r="F78" i="16" s="1"/>
  <c r="D77" i="16"/>
  <c r="D72" i="16"/>
  <c r="D65" i="16"/>
  <c r="D64" i="16"/>
  <c r="D62" i="16"/>
  <c r="F69" i="16"/>
  <c r="F66" i="16"/>
  <c r="F65" i="16"/>
  <c r="F64" i="16"/>
  <c r="F62" i="16"/>
  <c r="F70" i="16" s="1"/>
  <c r="F55" i="16"/>
  <c r="F50" i="16"/>
  <c r="F46" i="16"/>
  <c r="F44" i="16"/>
  <c r="F53" i="16" s="1"/>
  <c r="D50" i="16"/>
  <c r="D53" i="16" s="1"/>
  <c r="D46" i="16"/>
  <c r="C53" i="16"/>
  <c r="F30" i="16"/>
  <c r="F28" i="16"/>
  <c r="F26" i="16"/>
  <c r="F25" i="16"/>
  <c r="F24" i="16"/>
  <c r="F40" i="16" s="1"/>
  <c r="F14" i="16"/>
  <c r="F15" i="16"/>
  <c r="F16" i="16"/>
  <c r="F18" i="16"/>
  <c r="F19" i="16"/>
  <c r="F13" i="16"/>
  <c r="D28" i="16"/>
  <c r="D26" i="16"/>
  <c r="D25" i="16"/>
  <c r="D24" i="16"/>
  <c r="D18" i="16"/>
  <c r="D16" i="16"/>
  <c r="C40" i="16"/>
  <c r="D30" i="16"/>
  <c r="D13" i="16"/>
  <c r="A3" i="16"/>
  <c r="A1" i="16"/>
  <c r="D78" i="16" l="1"/>
  <c r="D70" i="16"/>
  <c r="F110" i="16"/>
  <c r="F112" i="16" s="1"/>
  <c r="D40" i="16"/>
  <c r="D112" i="16" s="1"/>
  <c r="C36" i="15" l="1"/>
  <c r="D36" i="15" s="1"/>
  <c r="E36" i="15" s="1"/>
  <c r="F36" i="15" s="1"/>
  <c r="G36" i="15" s="1"/>
  <c r="H36" i="15" s="1"/>
  <c r="I36" i="15" s="1"/>
  <c r="J36" i="15" s="1"/>
  <c r="K36" i="15" s="1"/>
  <c r="L36" i="15" s="1"/>
  <c r="M36" i="15" s="1"/>
  <c r="N36" i="15" s="1"/>
  <c r="O36" i="15" s="1"/>
  <c r="P36" i="15" s="1"/>
  <c r="A3" i="15"/>
  <c r="A1" i="15"/>
  <c r="A3" i="12"/>
  <c r="A1" i="12"/>
  <c r="D99" i="2"/>
  <c r="F46" i="1" s="1"/>
  <c r="L46" i="1" s="1"/>
  <c r="D105" i="2"/>
  <c r="F58" i="1" s="1"/>
  <c r="L58" i="1" s="1"/>
  <c r="H9" i="1"/>
  <c r="H67" i="1" s="1"/>
  <c r="A3" i="3"/>
  <c r="D34" i="18" l="1"/>
  <c r="H12" i="3"/>
  <c r="H13" i="3" s="1"/>
  <c r="H14" i="3" s="1"/>
  <c r="C34" i="3"/>
  <c r="C33" i="3"/>
  <c r="C37" i="3"/>
  <c r="C35" i="3"/>
  <c r="D92" i="12"/>
  <c r="D66" i="12" l="1"/>
  <c r="D57" i="12"/>
  <c r="D19" i="12"/>
  <c r="B60" i="12"/>
  <c r="B66" i="12" s="1"/>
  <c r="B57" i="12"/>
  <c r="B11" i="12"/>
  <c r="B19" i="12" l="1"/>
  <c r="D26" i="2" l="1"/>
  <c r="F14" i="1" s="1"/>
  <c r="I13" i="3"/>
  <c r="D22" i="3"/>
  <c r="I14" i="3"/>
  <c r="I12" i="3"/>
  <c r="J12" i="3" s="1"/>
  <c r="D68" i="7"/>
  <c r="A67" i="7"/>
  <c r="A66" i="7"/>
  <c r="C52" i="7"/>
  <c r="A98" i="7"/>
  <c r="C90" i="7"/>
  <c r="D79" i="7"/>
  <c r="E79" i="7" s="1"/>
  <c r="D74" i="7"/>
  <c r="E74" i="7" s="1"/>
  <c r="F13" i="1"/>
  <c r="C21" i="4"/>
  <c r="C23" i="4" s="1"/>
  <c r="C25" i="4" s="1"/>
  <c r="C29" i="4" s="1"/>
  <c r="C35" i="4"/>
  <c r="A1" i="3"/>
  <c r="A1" i="4" s="1"/>
  <c r="A1" i="2"/>
  <c r="A3" i="2"/>
  <c r="A3" i="4" s="1"/>
  <c r="D36" i="2"/>
  <c r="F12" i="1" s="1"/>
  <c r="D62" i="2"/>
  <c r="F18" i="1" s="1"/>
  <c r="D91" i="2"/>
  <c r="F45" i="1" s="1"/>
  <c r="L45" i="1" s="1"/>
  <c r="C37" i="4" l="1"/>
  <c r="L14" i="1"/>
  <c r="J14" i="3"/>
  <c r="K14" i="3" s="1"/>
  <c r="J13" i="3"/>
  <c r="K13" i="3"/>
  <c r="L13" i="3" s="1"/>
  <c r="K12" i="3"/>
  <c r="D78" i="3"/>
  <c r="D60" i="3"/>
  <c r="D61" i="3"/>
  <c r="L13" i="1"/>
  <c r="L12" i="1"/>
  <c r="B37" i="3"/>
  <c r="B38" i="3"/>
  <c r="D58" i="3"/>
  <c r="D77" i="3"/>
  <c r="B34" i="3"/>
  <c r="L27" i="3"/>
  <c r="B10" i="15" s="1"/>
  <c r="C10" i="15" s="1"/>
  <c r="D10" i="15" s="1"/>
  <c r="E10" i="15" s="1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P10" i="15" s="1"/>
  <c r="D70" i="3"/>
  <c r="B33" i="3"/>
  <c r="D80" i="3"/>
  <c r="B35" i="3"/>
  <c r="C32" i="3"/>
  <c r="B32" i="3" s="1"/>
  <c r="D43" i="3"/>
  <c r="E54" i="3" s="1"/>
  <c r="C22" i="3"/>
  <c r="D64" i="3"/>
  <c r="F72" i="3" s="1"/>
  <c r="L14" i="3" l="1"/>
  <c r="C89" i="3"/>
  <c r="F22" i="1" s="1"/>
  <c r="E62" i="3"/>
  <c r="B14" i="15"/>
  <c r="C14" i="15" s="1"/>
  <c r="D14" i="15" s="1"/>
  <c r="E14" i="15" s="1"/>
  <c r="F14" i="15" s="1"/>
  <c r="G14" i="15" s="1"/>
  <c r="H14" i="15" s="1"/>
  <c r="I14" i="15" s="1"/>
  <c r="J14" i="15" s="1"/>
  <c r="K14" i="15" s="1"/>
  <c r="L14" i="15" s="1"/>
  <c r="M14" i="15" s="1"/>
  <c r="N14" i="15" s="1"/>
  <c r="O14" i="15" s="1"/>
  <c r="P14" i="15" s="1"/>
  <c r="C180" i="16"/>
  <c r="C181" i="16" s="1"/>
  <c r="C158" i="16"/>
  <c r="D22" i="18"/>
  <c r="D29" i="18" s="1"/>
  <c r="D35" i="18" s="1"/>
  <c r="D36" i="18" s="1"/>
  <c r="D37" i="18" s="1"/>
  <c r="F41" i="1"/>
  <c r="L41" i="1" s="1"/>
  <c r="C73" i="7"/>
  <c r="D73" i="7" s="1"/>
  <c r="E73" i="7" s="1"/>
  <c r="D51" i="2" l="1"/>
  <c r="F15" i="1" s="1"/>
  <c r="D90" i="3"/>
  <c r="D91" i="3" s="1"/>
  <c r="C91" i="3"/>
  <c r="L18" i="1"/>
  <c r="E36" i="18"/>
  <c r="G36" i="18" s="1"/>
  <c r="C94" i="3" l="1"/>
  <c r="C93" i="3"/>
  <c r="H87" i="16" s="1"/>
  <c r="F29" i="1"/>
  <c r="C95" i="3"/>
  <c r="C96" i="3"/>
  <c r="L15" i="1"/>
  <c r="L37" i="1"/>
  <c r="C28" i="7" l="1"/>
  <c r="F31" i="1"/>
  <c r="L47" i="1"/>
  <c r="C120" i="16"/>
  <c r="C123" i="16" s="1"/>
  <c r="C72" i="7"/>
  <c r="D72" i="7" l="1"/>
  <c r="E72" i="7" s="1"/>
  <c r="C75" i="7"/>
  <c r="D75" i="7" s="1"/>
  <c r="E75" i="7" s="1"/>
  <c r="C66" i="7"/>
  <c r="D66" i="7" l="1"/>
  <c r="E66" i="7"/>
  <c r="C39" i="7" l="1"/>
  <c r="C41" i="7" l="1"/>
  <c r="C89" i="7" s="1"/>
  <c r="C43" i="7" l="1"/>
  <c r="C47" i="7" s="1"/>
  <c r="C91" i="7"/>
  <c r="C94" i="7" s="1"/>
  <c r="C98" i="7"/>
  <c r="C99" i="7" s="1"/>
  <c r="C102" i="7" s="1"/>
  <c r="C54" i="7" l="1"/>
  <c r="C57" i="7" s="1"/>
  <c r="C61" i="7" s="1"/>
  <c r="F51" i="1"/>
  <c r="D79" i="2" l="1"/>
  <c r="F19" i="1" s="1"/>
  <c r="L19" i="1" s="1"/>
  <c r="F20" i="1" l="1"/>
  <c r="L20" i="1" s="1"/>
  <c r="C26" i="7"/>
  <c r="C30" i="7" s="1"/>
  <c r="C34" i="7" s="1"/>
  <c r="C136" i="16" l="1"/>
  <c r="C139" i="16" l="1"/>
  <c r="D38" i="18"/>
  <c r="D39" i="18" s="1"/>
  <c r="L12" i="3" l="1"/>
  <c r="L22" i="3" s="1"/>
  <c r="L24" i="3" s="1"/>
  <c r="L25" i="3" l="1"/>
  <c r="B8" i="15"/>
  <c r="C8" i="15" l="1"/>
  <c r="B9" i="15"/>
  <c r="C9" i="15" s="1"/>
  <c r="D9" i="15" s="1"/>
  <c r="E9" i="15" s="1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P9" i="15" s="1"/>
  <c r="L26" i="3"/>
  <c r="L28" i="3" l="1"/>
  <c r="D55" i="3"/>
  <c r="D79" i="3" s="1"/>
  <c r="B11" i="15"/>
  <c r="D8" i="15"/>
  <c r="C11" i="15"/>
  <c r="E8" i="15" l="1"/>
  <c r="D11" i="15"/>
  <c r="C157" i="16"/>
  <c r="B13" i="15"/>
  <c r="C79" i="3"/>
  <c r="D81" i="3"/>
  <c r="D85" i="3" s="1"/>
  <c r="D40" i="3"/>
  <c r="C40" i="3" s="1"/>
  <c r="C81" i="3" l="1"/>
  <c r="C84" i="3" s="1"/>
  <c r="D82" i="3"/>
  <c r="D84" i="3" s="1"/>
  <c r="F28" i="1" s="1"/>
  <c r="C184" i="16"/>
  <c r="C185" i="16" s="1"/>
  <c r="B15" i="15"/>
  <c r="B26" i="15" s="1"/>
  <c r="C13" i="15"/>
  <c r="E40" i="3"/>
  <c r="E11" i="15"/>
  <c r="F8" i="15"/>
  <c r="C22" i="15" l="1"/>
  <c r="D22" i="15" s="1"/>
  <c r="E22" i="15" s="1"/>
  <c r="F22" i="15" s="1"/>
  <c r="G22" i="15" s="1"/>
  <c r="H22" i="15" s="1"/>
  <c r="I22" i="15" s="1"/>
  <c r="J22" i="15" s="1"/>
  <c r="K22" i="15" s="1"/>
  <c r="L22" i="15" s="1"/>
  <c r="M22" i="15" s="1"/>
  <c r="N22" i="15" s="1"/>
  <c r="O22" i="15" s="1"/>
  <c r="P22" i="15" s="1"/>
  <c r="D45" i="18"/>
  <c r="D13" i="15"/>
  <c r="C15" i="15"/>
  <c r="A15" i="15"/>
  <c r="B17" i="15"/>
  <c r="B21" i="15" s="1"/>
  <c r="F11" i="15"/>
  <c r="G8" i="15"/>
  <c r="C17" i="15" l="1"/>
  <c r="C21" i="15" s="1"/>
  <c r="C24" i="15" s="1"/>
  <c r="C26" i="15"/>
  <c r="C159" i="16"/>
  <c r="C160" i="16" s="1"/>
  <c r="C67" i="7"/>
  <c r="G11" i="15"/>
  <c r="H8" i="15"/>
  <c r="B24" i="15"/>
  <c r="D15" i="15"/>
  <c r="E13" i="15"/>
  <c r="D17" i="15" l="1"/>
  <c r="D21" i="15" s="1"/>
  <c r="D24" i="15" s="1"/>
  <c r="D26" i="15"/>
  <c r="F65" i="1"/>
  <c r="C153" i="16"/>
  <c r="C155" i="16" s="1"/>
  <c r="C162" i="16" s="1"/>
  <c r="F13" i="15"/>
  <c r="E15" i="15"/>
  <c r="D67" i="7"/>
  <c r="D70" i="7" s="1"/>
  <c r="D77" i="7" s="1"/>
  <c r="D81" i="7" s="1"/>
  <c r="E67" i="7"/>
  <c r="E70" i="7" s="1"/>
  <c r="E77" i="7" s="1"/>
  <c r="E81" i="7" s="1"/>
  <c r="C70" i="7"/>
  <c r="C77" i="7" s="1"/>
  <c r="C81" i="7" s="1"/>
  <c r="H11" i="15"/>
  <c r="I8" i="15"/>
  <c r="E17" i="15" l="1"/>
  <c r="E21" i="15" s="1"/>
  <c r="E24" i="15" s="1"/>
  <c r="E26" i="15"/>
  <c r="I11" i="15"/>
  <c r="J8" i="15"/>
  <c r="F15" i="15"/>
  <c r="G13" i="15"/>
  <c r="F17" i="15" l="1"/>
  <c r="F21" i="15" s="1"/>
  <c r="F24" i="15" s="1"/>
  <c r="F26" i="15"/>
  <c r="K8" i="15"/>
  <c r="J11" i="15"/>
  <c r="G15" i="15"/>
  <c r="H13" i="15"/>
  <c r="G17" i="15" l="1"/>
  <c r="G21" i="15" s="1"/>
  <c r="G24" i="15" s="1"/>
  <c r="G26" i="15"/>
  <c r="I13" i="15"/>
  <c r="H15" i="15"/>
  <c r="L8" i="15"/>
  <c r="K11" i="15"/>
  <c r="H17" i="15" l="1"/>
  <c r="H21" i="15" s="1"/>
  <c r="H24" i="15" s="1"/>
  <c r="H26" i="15"/>
  <c r="I15" i="15"/>
  <c r="J13" i="15"/>
  <c r="M8" i="15"/>
  <c r="L11" i="15"/>
  <c r="I17" i="15" l="1"/>
  <c r="I21" i="15" s="1"/>
  <c r="I24" i="15" s="1"/>
  <c r="I26" i="15"/>
  <c r="J15" i="15"/>
  <c r="K13" i="15"/>
  <c r="M11" i="15"/>
  <c r="N8" i="15"/>
  <c r="J17" i="15" l="1"/>
  <c r="J21" i="15" s="1"/>
  <c r="J24" i="15" s="1"/>
  <c r="J26" i="15"/>
  <c r="N11" i="15"/>
  <c r="O8" i="15"/>
  <c r="L13" i="15"/>
  <c r="K15" i="15"/>
  <c r="K17" i="15" l="1"/>
  <c r="K21" i="15" s="1"/>
  <c r="K24" i="15" s="1"/>
  <c r="K26" i="15"/>
  <c r="L15" i="15"/>
  <c r="M13" i="15"/>
  <c r="O11" i="15"/>
  <c r="P8" i="15"/>
  <c r="P11" i="15" s="1"/>
  <c r="L17" i="15" l="1"/>
  <c r="L21" i="15" s="1"/>
  <c r="L24" i="15" s="1"/>
  <c r="L26" i="15"/>
  <c r="B51" i="15"/>
  <c r="N13" i="15"/>
  <c r="M15" i="15"/>
  <c r="M17" i="15" l="1"/>
  <c r="M21" i="15" s="1"/>
  <c r="M24" i="15" s="1"/>
  <c r="M26" i="15"/>
  <c r="N15" i="15"/>
  <c r="O13" i="15"/>
  <c r="N17" i="15" l="1"/>
  <c r="N21" i="15" s="1"/>
  <c r="N24" i="15" s="1"/>
  <c r="N26" i="15"/>
  <c r="O15" i="15"/>
  <c r="P13" i="15"/>
  <c r="P15" i="15" s="1"/>
  <c r="P17" i="15" l="1"/>
  <c r="P21" i="15" s="1"/>
  <c r="P24" i="15" s="1"/>
  <c r="P26" i="15"/>
  <c r="O17" i="15"/>
  <c r="O21" i="15" s="1"/>
  <c r="O24" i="15" s="1"/>
  <c r="O26" i="15"/>
  <c r="C192" i="16" l="1"/>
  <c r="C193" i="16"/>
  <c r="B27" i="15"/>
  <c r="C178" i="16"/>
  <c r="L54" i="1"/>
  <c r="F59" i="1"/>
  <c r="C12" i="7"/>
  <c r="C16" i="7" s="1"/>
  <c r="D6" i="18" l="1"/>
  <c r="D8" i="18" l="1"/>
  <c r="D9" i="18" s="1"/>
  <c r="D10" i="18" s="1"/>
  <c r="D21" i="18"/>
  <c r="D23" i="18" s="1"/>
  <c r="E23" i="18" l="1"/>
  <c r="G23" i="18" s="1"/>
  <c r="D24" i="18"/>
  <c r="D25" i="18" s="1"/>
  <c r="D50" i="18"/>
  <c r="B30" i="15"/>
  <c r="B31" i="15"/>
  <c r="B34" i="15" s="1"/>
  <c r="B38" i="15" l="1"/>
  <c r="B42" i="15" s="1"/>
  <c r="B32" i="15"/>
  <c r="C30" i="15" s="1"/>
  <c r="C31" i="15" l="1"/>
  <c r="C34" i="15" s="1"/>
  <c r="C38" i="15" l="1"/>
  <c r="C42" i="15" s="1"/>
  <c r="C32" i="15"/>
  <c r="D30" i="15" s="1"/>
  <c r="D31" i="15" l="1"/>
  <c r="D34" i="15" s="1"/>
  <c r="D38" i="15" l="1"/>
  <c r="D42" i="15" s="1"/>
  <c r="D32" i="15"/>
  <c r="E30" i="15" s="1"/>
  <c r="E31" i="15" l="1"/>
  <c r="E34" i="15" s="1"/>
  <c r="E38" i="15" l="1"/>
  <c r="E42" i="15" s="1"/>
  <c r="E32" i="15"/>
  <c r="F30" i="15" s="1"/>
  <c r="F31" i="15" l="1"/>
  <c r="F34" i="15" s="1"/>
  <c r="F32" i="15" l="1"/>
  <c r="G30" i="15" s="1"/>
  <c r="G31" i="15" s="1"/>
  <c r="G34" i="15" s="1"/>
  <c r="F38" i="15"/>
  <c r="F42" i="15" s="1"/>
  <c r="G32" i="15" l="1"/>
  <c r="H30" i="15" s="1"/>
  <c r="H31" i="15"/>
  <c r="H34" i="15" s="1"/>
  <c r="G38" i="15"/>
  <c r="G42" i="15" s="1"/>
  <c r="H38" i="15" l="1"/>
  <c r="H42" i="15" s="1"/>
  <c r="H32" i="15"/>
  <c r="I30" i="15" s="1"/>
  <c r="I31" i="15" l="1"/>
  <c r="I34" i="15" s="1"/>
  <c r="I38" i="15" l="1"/>
  <c r="I42" i="15" s="1"/>
  <c r="I32" i="15"/>
  <c r="J30" i="15" s="1"/>
  <c r="J31" i="15" l="1"/>
  <c r="J34" i="15" s="1"/>
  <c r="J38" i="15" l="1"/>
  <c r="J42" i="15" s="1"/>
  <c r="J32" i="15"/>
  <c r="K30" i="15" s="1"/>
  <c r="K31" i="15" l="1"/>
  <c r="K34" i="15" s="1"/>
  <c r="K38" i="15" l="1"/>
  <c r="K42" i="15" s="1"/>
  <c r="K32" i="15"/>
  <c r="L30" i="15" s="1"/>
  <c r="L31" i="15" l="1"/>
  <c r="L34" i="15" s="1"/>
  <c r="L38" i="15" l="1"/>
  <c r="L42" i="15" s="1"/>
  <c r="L32" i="15"/>
  <c r="M30" i="15" s="1"/>
  <c r="M31" i="15" l="1"/>
  <c r="M34" i="15" s="1"/>
  <c r="M38" i="15" l="1"/>
  <c r="M42" i="15" s="1"/>
  <c r="M32" i="15"/>
  <c r="N30" i="15" s="1"/>
  <c r="N31" i="15" l="1"/>
  <c r="N34" i="15" s="1"/>
  <c r="N32" i="15" l="1"/>
  <c r="O30" i="15" s="1"/>
  <c r="O31" i="15" s="1"/>
  <c r="O34" i="15" s="1"/>
  <c r="N38" i="15"/>
  <c r="N42" i="15" s="1"/>
  <c r="O32" i="15" l="1"/>
  <c r="P30" i="15" s="1"/>
  <c r="P31" i="15" s="1"/>
  <c r="P34" i="15" s="1"/>
  <c r="O38" i="15"/>
  <c r="O42" i="15" s="1"/>
  <c r="P38" i="15" l="1"/>
  <c r="P42" i="15" s="1"/>
  <c r="P32" i="15"/>
  <c r="C131" i="16" l="1"/>
  <c r="C146" i="16" s="1"/>
  <c r="C148" i="16" s="1"/>
  <c r="C150" i="16" s="1"/>
  <c r="D13" i="2"/>
  <c r="D14" i="2"/>
  <c r="D15" i="2"/>
  <c r="D17" i="2"/>
  <c r="D66" i="2"/>
  <c r="D69" i="2"/>
  <c r="C116" i="16"/>
  <c r="C117" i="16"/>
  <c r="C122" i="16"/>
  <c r="C124" i="16"/>
  <c r="C125" i="16"/>
  <c r="C132" i="16"/>
  <c r="C133" i="16"/>
  <c r="C138" i="16"/>
  <c r="C140" i="16"/>
  <c r="C142" i="16"/>
  <c r="C164" i="16"/>
  <c r="C165" i="16"/>
  <c r="C166" i="16"/>
  <c r="C167" i="16"/>
  <c r="C169" i="16"/>
  <c r="C170" i="16"/>
  <c r="C171" i="16"/>
  <c r="C173" i="16"/>
  <c r="C18" i="7"/>
  <c r="C20" i="7"/>
  <c r="D13" i="18"/>
  <c r="D15" i="18"/>
  <c r="E15" i="18"/>
  <c r="G15" i="18"/>
  <c r="D16" i="18"/>
  <c r="D17" i="18"/>
  <c r="D28" i="18"/>
  <c r="D30" i="18"/>
  <c r="E30" i="18"/>
  <c r="G30" i="18"/>
  <c r="D31" i="18"/>
  <c r="D46" i="18"/>
  <c r="D47" i="18"/>
  <c r="E47" i="18"/>
  <c r="G47" i="18"/>
  <c r="D51" i="18"/>
  <c r="D52" i="18"/>
  <c r="E52" i="18"/>
  <c r="G52" i="18"/>
  <c r="G54" i="18"/>
  <c r="F25" i="1"/>
  <c r="F32" i="1"/>
  <c r="F33" i="1"/>
  <c r="F34" i="1"/>
  <c r="F38" i="1"/>
  <c r="L38" i="1"/>
  <c r="F40" i="1"/>
  <c r="L40" i="1"/>
  <c r="F43" i="1"/>
  <c r="F67" i="1"/>
  <c r="L67" i="1"/>
  <c r="L68" i="1"/>
  <c r="F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tpezzot</author>
  </authors>
  <commentList>
    <comment ref="F6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tpezzot
Intial Deposit Replacement Reserves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tpezzot:</t>
        </r>
        <r>
          <rPr>
            <sz val="8"/>
            <color indexed="81"/>
            <rFont val="Tahoma"/>
            <family val="2"/>
          </rPr>
          <t xml:space="preserve">
New Line
</t>
        </r>
      </text>
    </comment>
    <comment ref="F11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tpezzot:</t>
        </r>
        <r>
          <rPr>
            <sz val="8"/>
            <color indexed="81"/>
            <rFont val="Tahoma"/>
            <family val="2"/>
          </rPr>
          <t xml:space="preserve">
Net Equity to Project
</t>
        </r>
      </text>
    </comment>
  </commentList>
</comments>
</file>

<file path=xl/sharedStrings.xml><?xml version="1.0" encoding="utf-8"?>
<sst xmlns="http://schemas.openxmlformats.org/spreadsheetml/2006/main" count="813" uniqueCount="662">
  <si>
    <t>Hard Construction(Res. New Const.)</t>
  </si>
  <si>
    <t>Construction Contingency</t>
  </si>
  <si>
    <t>General Requirements</t>
  </si>
  <si>
    <t>Contractor Overhead</t>
  </si>
  <si>
    <t>Contractor Profit</t>
  </si>
  <si>
    <t>Architectural Fees</t>
  </si>
  <si>
    <t>Survey(s) Costs</t>
  </si>
  <si>
    <t>Engineering Fees</t>
  </si>
  <si>
    <t>Construction Insurance</t>
  </si>
  <si>
    <t>Construction Interest</t>
  </si>
  <si>
    <t>Construction Loan(s) Fees</t>
  </si>
  <si>
    <t xml:space="preserve">Permanent Loan(s) Fees </t>
  </si>
  <si>
    <t>Taxes</t>
  </si>
  <si>
    <t>Appraisal</t>
  </si>
  <si>
    <t>Market Study</t>
  </si>
  <si>
    <t>Enviromental Report</t>
  </si>
  <si>
    <t>Housing Credit Application Fee</t>
  </si>
  <si>
    <t>Housing Credit Reservation Fee</t>
  </si>
  <si>
    <t>Compliance Monitoring Fee</t>
  </si>
  <si>
    <t>Title &amp; Recording</t>
  </si>
  <si>
    <t>Legal Fees (not syndication related)</t>
  </si>
  <si>
    <t>Accounting Fees</t>
  </si>
  <si>
    <t>Developer's Fee &amp; Overhead</t>
  </si>
  <si>
    <t>Total</t>
  </si>
  <si>
    <t>DEVELOPMENT COST - SUPPORTING DETAIL</t>
  </si>
  <si>
    <t>Total construction contract</t>
  </si>
  <si>
    <t>Construction - inspection</t>
  </si>
  <si>
    <t>Design</t>
  </si>
  <si>
    <t>Reimburseables</t>
  </si>
  <si>
    <t>Survey cost</t>
  </si>
  <si>
    <t xml:space="preserve">  As-built</t>
  </si>
  <si>
    <t>Engineering Cost</t>
  </si>
  <si>
    <t xml:space="preserve">  Reimbursables</t>
  </si>
  <si>
    <t xml:space="preserve">  Construction Staking</t>
  </si>
  <si>
    <t>Current</t>
  </si>
  <si>
    <t>CONSTRUCTION LOAN AMOUNT</t>
  </si>
  <si>
    <t>City of Dayton</t>
  </si>
  <si>
    <t xml:space="preserve">Environmental </t>
  </si>
  <si>
    <t xml:space="preserve">  Reissuance cost - lender</t>
  </si>
  <si>
    <t xml:space="preserve">  Reimburseables</t>
  </si>
  <si>
    <t xml:space="preserve">  Misc.</t>
  </si>
  <si>
    <t>INTEREST RATE</t>
  </si>
  <si>
    <t>TAXES</t>
  </si>
  <si>
    <t>COMMERCIAL ACTIVITIES TAX</t>
  </si>
  <si>
    <t>REAL ESTATE TAXES</t>
  </si>
  <si>
    <t>TITLE INSURANCE</t>
  </si>
  <si>
    <t>OWNERS POLICY</t>
  </si>
  <si>
    <t>ENDORSEMENTS</t>
  </si>
  <si>
    <t>RECORDING FEES</t>
  </si>
  <si>
    <t>LENDER POLICY</t>
  </si>
  <si>
    <t>HDAP</t>
  </si>
  <si>
    <t>Deferred Fee</t>
  </si>
  <si>
    <t>Total Sources</t>
  </si>
  <si>
    <t>Funding Shortfall</t>
  </si>
  <si>
    <t>Annual Credit</t>
  </si>
  <si>
    <t>Pricing</t>
  </si>
  <si>
    <t>Housing Credit Exchange Fee</t>
  </si>
  <si>
    <t>Bank Financing</t>
  </si>
  <si>
    <t>Syndication Expenses</t>
  </si>
  <si>
    <t>Operating Reserves</t>
  </si>
  <si>
    <t>Prefunded Asset Mgt Fee</t>
  </si>
  <si>
    <t>Cash Flow Deficit Reserver</t>
  </si>
  <si>
    <t>Lease-up Marketing Reserve</t>
  </si>
  <si>
    <t>TOTAL OPERATING EXPENSES</t>
  </si>
  <si>
    <t>LESS: ADJUSTMENTS FOR CONSTRUCTION PERIOD</t>
  </si>
  <si>
    <t>ACCOUNTING AND AUDIT</t>
  </si>
  <si>
    <t>REPAIRS</t>
  </si>
  <si>
    <t>INSURANCE</t>
  </si>
  <si>
    <t>PROPERTY TAX</t>
  </si>
  <si>
    <t>REPLACEMENT RESERVE</t>
  </si>
  <si>
    <t>ADJUSTED OPERATING COST - ANNUAL</t>
  </si>
  <si>
    <t>ADJUSTED OPERATING COST - MONTHLY</t>
  </si>
  <si>
    <t>LEASE UP BUDGET</t>
  </si>
  <si>
    <t>DECORATING</t>
  </si>
  <si>
    <t>IN CONSTRUCTION SOURCES AND USES</t>
  </si>
  <si>
    <t>FUNDING NOT UNTIL UNITS PLACED IN SERVICE</t>
  </si>
  <si>
    <t>NOT APPLICABLE - UNITS NOT IN SERVICE</t>
  </si>
  <si>
    <t>LEGAL</t>
  </si>
  <si>
    <t>ADVERTISING</t>
  </si>
  <si>
    <t>SEE SEPARATE ALLOCATION</t>
  </si>
  <si>
    <t>EXTERMINATING</t>
  </si>
  <si>
    <t>GROUNDS</t>
  </si>
  <si>
    <t>MAINENANCE SALARY</t>
  </si>
  <si>
    <t>NUMBER OF MONTHS</t>
  </si>
  <si>
    <t>BASE OPERATING EXPENSES</t>
  </si>
  <si>
    <t>ADDITIONAL COST</t>
  </si>
  <si>
    <t xml:space="preserve">  ADVERTISING</t>
  </si>
  <si>
    <t xml:space="preserve">  OFFICE EXPENSE</t>
  </si>
  <si>
    <t xml:space="preserve">  LEASE UP BONUS</t>
  </si>
  <si>
    <t>TOTAL LEASE UP BUDGET</t>
  </si>
  <si>
    <t>HDAP interest</t>
  </si>
  <si>
    <t>LIHTC EQUITY</t>
  </si>
  <si>
    <t>DEVELOPMENT COST PROJECTION</t>
  </si>
  <si>
    <t>Soft Cost Contingency</t>
  </si>
  <si>
    <t>OHFA Loan Fees</t>
  </si>
  <si>
    <t>LEGAL FEES</t>
  </si>
  <si>
    <t>SIMULTANEOUS ISSUE CREDIT</t>
  </si>
  <si>
    <t>HDAP INTEREST</t>
  </si>
  <si>
    <t>Rate Lock fee</t>
  </si>
  <si>
    <t>CONSTRUCTION INSPECTION</t>
  </si>
  <si>
    <t>OHFA DIRECT LOAN</t>
  </si>
  <si>
    <t>INITIAL FORMATION</t>
  </si>
  <si>
    <t>TITLE SEARCHES &amp; RELATED COST - LOT ACQUISITION</t>
  </si>
  <si>
    <t>ADMINISTRATIVE COST</t>
  </si>
  <si>
    <t>REPAIRS AND MAINTENANCE</t>
  </si>
  <si>
    <t>MANAGEMENT FEE</t>
  </si>
  <si>
    <t>Purchase price</t>
  </si>
  <si>
    <t>4% basis</t>
  </si>
  <si>
    <t>9% basis</t>
  </si>
  <si>
    <t>CREDIT AMOUNT</t>
  </si>
  <si>
    <t>LOAN PAYMENTS</t>
  </si>
  <si>
    <t>LOAN AMOUNT</t>
  </si>
  <si>
    <t>TOTAL COST</t>
  </si>
  <si>
    <t>LESS: RESERVES</t>
  </si>
  <si>
    <t>NET DEVELOPMENT COST</t>
  </si>
  <si>
    <t>COST PER UNIT</t>
  </si>
  <si>
    <t>INCOME/EXPENSE ANALSYS</t>
  </si>
  <si>
    <t>Transition Reserve - HAP contract</t>
  </si>
  <si>
    <t>Credit Percentage</t>
  </si>
  <si>
    <t>Basis Boost</t>
  </si>
  <si>
    <t>FUNDS AVAILABLE FOR DEBT SERVICE</t>
  </si>
  <si>
    <t>TERM</t>
  </si>
  <si>
    <t>AMORTIZATION PERIOD</t>
  </si>
  <si>
    <t>DEBT PER UNIT</t>
  </si>
  <si>
    <t>WHITMORE ARMS APARTMENTS</t>
  </si>
  <si>
    <t>JULY 17, 2014</t>
  </si>
  <si>
    <t>Site work</t>
  </si>
  <si>
    <t xml:space="preserve"> </t>
  </si>
  <si>
    <t>cash flow shortage</t>
  </si>
  <si>
    <t>12% - TOTAL HARD CONST. PLUS SITE</t>
  </si>
  <si>
    <t>COST PER BEDROOM</t>
  </si>
  <si>
    <t xml:space="preserve">  Phase I report/asbestos study</t>
  </si>
  <si>
    <t>County Funds</t>
  </si>
  <si>
    <t>Relocation Cost</t>
  </si>
  <si>
    <t>Accounting Fees (Cost Certification)</t>
  </si>
  <si>
    <t>Construction Inspection</t>
  </si>
  <si>
    <t>Site Cost</t>
  </si>
  <si>
    <t>Cash Flow Deficit Reserver (RE tax)</t>
  </si>
  <si>
    <t>RENT</t>
  </si>
  <si>
    <t>LIHTC</t>
  </si>
  <si>
    <t>UTILITIES - OWNER</t>
  </si>
  <si>
    <t>Construction Period operating deficit</t>
  </si>
  <si>
    <t>OHIO HOUSING FINANCE AGENCY</t>
  </si>
  <si>
    <t>CONSTRUCTION INTEREST</t>
  </si>
  <si>
    <t xml:space="preserve">PROGRAM MAXIMUM </t>
  </si>
  <si>
    <t>CONSTRUCTION INTEREST - BUDGET</t>
  </si>
  <si>
    <t>DOES PROJECT COMPLY WITH PROGRAM MAXIMUM?</t>
  </si>
  <si>
    <t>CONSTRUCTION CONTINGENCY</t>
  </si>
  <si>
    <t>CONSTRUCTION CONTINGENCY - BUDGET</t>
  </si>
  <si>
    <t>HARD CONSTRUCTION COST</t>
  </si>
  <si>
    <t>PERCENT CONTINGENCY</t>
  </si>
  <si>
    <t>PROGRAM MAX</t>
  </si>
  <si>
    <t>PROFESSIONAL SOFT COST</t>
  </si>
  <si>
    <t>CURRENT BUDGET</t>
  </si>
  <si>
    <t>TOTAL DEVELOPMENT COST - EXCLUDING RESERVES</t>
  </si>
  <si>
    <t>PERCENT - PROFESSIONAL SOFT COST</t>
  </si>
  <si>
    <t>SOFT COST CONTINGENCY</t>
  </si>
  <si>
    <t>SOFT COST CONTINGENCY - BUDGET</t>
  </si>
  <si>
    <t>(TOTAL SOFT COST LESS DEVELOPER FEE)</t>
  </si>
  <si>
    <t>PERCENT - SOFT COST CONTINGENCY</t>
  </si>
  <si>
    <t>OPERATING RESERVES</t>
  </si>
  <si>
    <t>Total Reserves</t>
  </si>
  <si>
    <t>Annual Operating Expenses</t>
  </si>
  <si>
    <t>Reserve Deposits</t>
  </si>
  <si>
    <t>Hard Debt Service</t>
  </si>
  <si>
    <t>Number of Months Reserve</t>
  </si>
  <si>
    <t>OPEN ITEM - DOES CALCULATION INCLUDE PRE-FUNDED ASSET MANAGEMENT FEE</t>
  </si>
  <si>
    <t>OPEN ITEM - WILL OHFA CONSIDER PHA RESERVE - A "SPECIAL RESERVE"</t>
  </si>
  <si>
    <t>Acquisition Cost</t>
  </si>
  <si>
    <t>Predevelopment Cost</t>
  </si>
  <si>
    <t>Site Development</t>
  </si>
  <si>
    <t>Hard Construction</t>
  </si>
  <si>
    <t>Interim Financing Cost</t>
  </si>
  <si>
    <t>Professional Fees</t>
  </si>
  <si>
    <t>Compliance Cost</t>
  </si>
  <si>
    <t>Reserves</t>
  </si>
  <si>
    <t>COMPETITIVE CRITERIA</t>
  </si>
  <si>
    <t>LEVERAGE</t>
  </si>
  <si>
    <t>TOTAL DEVELOPMENT COST (EXCLUDING RESERVES)</t>
  </si>
  <si>
    <t>NON- OHFA SOURCES</t>
  </si>
  <si>
    <t>PERCENT NON-OHFA SOURCES</t>
  </si>
  <si>
    <t>REQUIREMENT FOR MAXIMUM SCORE</t>
  </si>
  <si>
    <t>DOES PROJECT SCORE MAXIMUM POINTS</t>
  </si>
  <si>
    <t>Asset Management Fee</t>
  </si>
  <si>
    <t>MAX</t>
  </si>
  <si>
    <t>NET</t>
  </si>
  <si>
    <t>UNDER-</t>
  </si>
  <si>
    <t>NUMBER</t>
  </si>
  <si>
    <t>MEDIAN</t>
  </si>
  <si>
    <t>UTILITY</t>
  </si>
  <si>
    <t>MAX LIHTC</t>
  </si>
  <si>
    <t>WRITING</t>
  </si>
  <si>
    <t>UNITS</t>
  </si>
  <si>
    <t>INCOME</t>
  </si>
  <si>
    <t>ALLOWANCE</t>
  </si>
  <si>
    <t>RENTS</t>
  </si>
  <si>
    <t>POTENTIAL</t>
  </si>
  <si>
    <t>MONTHLY RENT POTENTIAL</t>
  </si>
  <si>
    <t>ANNUAL RENT POTENTIAL</t>
  </si>
  <si>
    <t>Painting and Decorating</t>
  </si>
  <si>
    <t>Builder Overhead</t>
  </si>
  <si>
    <t>Builder Profit</t>
  </si>
  <si>
    <t>AHFA</t>
  </si>
  <si>
    <t>C.N.A.</t>
  </si>
  <si>
    <t>FHLB</t>
  </si>
  <si>
    <t>DEFERRED DEVELOPER FEE</t>
  </si>
  <si>
    <t>DEVELOPER FEE</t>
  </si>
  <si>
    <t>TOTAL</t>
  </si>
  <si>
    <t>Trade Item</t>
  </si>
  <si>
    <t>On Site Improvements:</t>
  </si>
  <si>
    <t>Earth Work</t>
  </si>
  <si>
    <t>Site Utilities</t>
  </si>
  <si>
    <t>Roads, Walks and Paving</t>
  </si>
  <si>
    <t>Site Improvements</t>
  </si>
  <si>
    <t>Lawns and Planting</t>
  </si>
  <si>
    <t>Demolition/Asbestos Abatement</t>
  </si>
  <si>
    <t>Retaining Walls</t>
  </si>
  <si>
    <t>Unusual Site Conditions</t>
  </si>
  <si>
    <t>List other on site costs here</t>
  </si>
  <si>
    <t xml:space="preserve">   Total On Site Improvements</t>
  </si>
  <si>
    <t>Hard Construction/Building:</t>
  </si>
  <si>
    <t>Concrete</t>
  </si>
  <si>
    <t>Masonry</t>
  </si>
  <si>
    <t>Pest Control</t>
  </si>
  <si>
    <t>Metals</t>
  </si>
  <si>
    <t>Rough Carpentry</t>
  </si>
  <si>
    <t>Finish Carpentry</t>
  </si>
  <si>
    <t>Waterproofing</t>
  </si>
  <si>
    <t>Insulation</t>
  </si>
  <si>
    <t>Roofing</t>
  </si>
  <si>
    <t>Siding/Soffit/Fascia/Ext. Sheathing</t>
  </si>
  <si>
    <t>Gutters and Downspouts</t>
  </si>
  <si>
    <t>Doors</t>
  </si>
  <si>
    <t>Windows</t>
  </si>
  <si>
    <t>Glass</t>
  </si>
  <si>
    <t>Drywall</t>
  </si>
  <si>
    <t>Tile Work and Wood Flooring</t>
  </si>
  <si>
    <t>Acoustical</t>
  </si>
  <si>
    <t>Resilient Flooring</t>
  </si>
  <si>
    <t>Specialties</t>
  </si>
  <si>
    <t>Trash Chute</t>
  </si>
  <si>
    <t>Special Equipment</t>
  </si>
  <si>
    <t>Cabinets and Countertops</t>
  </si>
  <si>
    <t>Special Construction</t>
  </si>
  <si>
    <t>Elevators</t>
  </si>
  <si>
    <t>Plumbing and Hot Water</t>
  </si>
  <si>
    <t xml:space="preserve">Heat, Ventilation </t>
  </si>
  <si>
    <t>&amp; Air Conditioning</t>
  </si>
  <si>
    <t>Fire Suppression</t>
  </si>
  <si>
    <t>Electrical</t>
  </si>
  <si>
    <t>Miscellaneous Labor &amp; Materials</t>
  </si>
  <si>
    <t>Radon Mitigation</t>
  </si>
  <si>
    <t xml:space="preserve">   Total Building </t>
  </si>
  <si>
    <t>Furniture, Fixtures &amp; Equipment</t>
  </si>
  <si>
    <t>Appliances</t>
  </si>
  <si>
    <t>Blinds and Shades, Artwork</t>
  </si>
  <si>
    <t>Carpets</t>
  </si>
  <si>
    <t>List other furnishing/appliance costs</t>
  </si>
  <si>
    <t xml:space="preserve">   Total FF and E</t>
  </si>
  <si>
    <t>Bond Premium</t>
  </si>
  <si>
    <t>Site Security</t>
  </si>
  <si>
    <t>SCHEDULE OF VALUES - CONSTRUCTION CONTRACT</t>
  </si>
  <si>
    <t>GDC</t>
  </si>
  <si>
    <t>OPERATING EXPENSES</t>
  </si>
  <si>
    <t>RMM ESTIMATE</t>
  </si>
  <si>
    <t>DEVELOPER'S COUNSEL</t>
  </si>
  <si>
    <t>RELOCATION COST</t>
  </si>
  <si>
    <t>MOVING</t>
  </si>
  <si>
    <t>COORDINATION</t>
  </si>
  <si>
    <t>CONTINGENCY</t>
  </si>
  <si>
    <t>Taxes/ (application for exemption)</t>
  </si>
  <si>
    <t>ACCOUNTING FEES</t>
  </si>
  <si>
    <t>10% TEST</t>
  </si>
  <si>
    <t>CONTRACTOR'S COST CERTIFICATION</t>
  </si>
  <si>
    <t>8609 COST CERTIFICATION</t>
  </si>
  <si>
    <t>INITIAL - AUDIT - B.S. SET UP</t>
  </si>
  <si>
    <t>Social Services (infant mortality)</t>
  </si>
  <si>
    <t>VACANCY LOSS</t>
  </si>
  <si>
    <t>NET RENT POTENTIAL</t>
  </si>
  <si>
    <t>REPLACEMENT RESERVES</t>
  </si>
  <si>
    <t>NET OPERATING INCOME</t>
  </si>
  <si>
    <t>TOTAL OPERATING EXPENSE</t>
  </si>
  <si>
    <t>TOTAL EXPENSES PLUS RESERVE</t>
  </si>
  <si>
    <t>STRAIGHT</t>
  </si>
  <si>
    <t>ONE BEDROOM</t>
  </si>
  <si>
    <t>OPERATING PROFORMA</t>
  </si>
  <si>
    <t>VACANCY</t>
  </si>
  <si>
    <t>OTHER INCOME</t>
  </si>
  <si>
    <t>TOTAL INCOME</t>
  </si>
  <si>
    <t>DEBT SERVICE</t>
  </si>
  <si>
    <t>CASH AFTER HARD DEBT SERVICE</t>
  </si>
  <si>
    <t>CASH AVAILABLE FOR SOFT DEBT/DISTRIBUTION</t>
  </si>
  <si>
    <t>INFLATION RATE</t>
  </si>
  <si>
    <t>EXPENSES/RESERVE</t>
  </si>
  <si>
    <t>BEGINNING BALANCE</t>
  </si>
  <si>
    <t>PAYMENTS</t>
  </si>
  <si>
    <t>ENDING BALANCE</t>
  </si>
  <si>
    <t>PERCENTAGE CASH PAID TO SOFT DEBT</t>
  </si>
  <si>
    <t>CASH PAID ON SOFT DEBT</t>
  </si>
  <si>
    <t>CASH TO DISTRIBUTE</t>
  </si>
  <si>
    <t>30% UNITS</t>
  </si>
  <si>
    <t>811 UNITS</t>
  </si>
  <si>
    <t xml:space="preserve">  Site Design</t>
  </si>
  <si>
    <t xml:space="preserve">UTILITIES - RESIDENTS </t>
  </si>
  <si>
    <t>CASH AVAILABLE TO PAY DEVELOPER FEE 1-10</t>
  </si>
  <si>
    <t>reissue/update</t>
  </si>
  <si>
    <t>LENDER'S COUNSEL</t>
  </si>
  <si>
    <t>OWNER COUNSEL</t>
  </si>
  <si>
    <t>RATIO</t>
  </si>
  <si>
    <t>50% OR BELOW UNITS</t>
  </si>
  <si>
    <t>FHLB - SCORING</t>
  </si>
  <si>
    <t>FIRST DISTRICT PRIORITIES</t>
  </si>
  <si>
    <t>SCORE</t>
  </si>
  <si>
    <t>PROJECT</t>
  </si>
  <si>
    <t>FIRST MORTGAGE PERM LOAN</t>
  </si>
  <si>
    <t>NON-SUBSIDIZED ADVANCE - CONSTRUCTION</t>
  </si>
  <si>
    <t>CASH CONTRIBUTION - $500</t>
  </si>
  <si>
    <t>SERVICING LOAN (HOMEOWNERSHIP ONLY)</t>
  </si>
  <si>
    <t>BELOW MARKET PERM DEBT</t>
  </si>
  <si>
    <t>BELOW MARKET - CONSTRUCTION DEBT</t>
  </si>
  <si>
    <t>A. MEMBER PARTICIPATION</t>
  </si>
  <si>
    <t>B. FIRST TIME HOME BUYER</t>
  </si>
  <si>
    <t>RENTAL</t>
  </si>
  <si>
    <t>C. COMMUNITY INVOLVEMENT</t>
  </si>
  <si>
    <t>8 HOURS OF LANDSCAPING</t>
  </si>
  <si>
    <t>DONATIONS OF GOODS AND SERVICES</t>
  </si>
  <si>
    <t>FEE WAIVER - LOCAL GOVERNMENT</t>
  </si>
  <si>
    <t>D. PROJECTS IN OHIO, KY OR TENN</t>
  </si>
  <si>
    <t>E. SPECIAL NEEDS POPULATION</t>
  </si>
  <si>
    <t>85%&gt; 10 POINTS</t>
  </si>
  <si>
    <t>70%&gt; 8 POINTS</t>
  </si>
  <si>
    <t>50%&gt; 6 POINTS</t>
  </si>
  <si>
    <t>35%&gt; 3 POINTS</t>
  </si>
  <si>
    <t>20%&gt; 2 POINTS</t>
  </si>
  <si>
    <t>20% 1 POINTS</t>
  </si>
  <si>
    <t>OWNERSHIP PROJECTS</t>
  </si>
  <si>
    <t>SUBTOTAL</t>
  </si>
  <si>
    <t>SECOND DISTRICT PRIORITIES</t>
  </si>
  <si>
    <t>A. HOUSING IN APPALACHIA</t>
  </si>
  <si>
    <t>B. OUTSIDE FUNDING COMMITMENTS</t>
  </si>
  <si>
    <t>100% OF FUNDS IN PLACE - 4 POINTS</t>
  </si>
  <si>
    <t>25%&gt; OF FUNDS IN PLACE - 2 POINTS</t>
  </si>
  <si>
    <t>C. AHP LEVERAGE</t>
  </si>
  <si>
    <t>AHP EQUAL TO 1% BUT LESS THAN 25% - 5 POINTS</t>
  </si>
  <si>
    <t>AHP EQUAL TO 26%-50% - 3 POINTS</t>
  </si>
  <si>
    <t>DONATED OR CONVEYED LAND</t>
  </si>
  <si>
    <t>CONVEYED BY FEDERAL GOVERNMENT - 5 PTS</t>
  </si>
  <si>
    <t>DONATED BY UNRELATED PROPERTY -- 5 PTS</t>
  </si>
  <si>
    <t>BELOW MARKET - UNRELATED PARTY - 3 POINTS</t>
  </si>
  <si>
    <t>DONATED BY RELATED PARTY - 1 POINT</t>
  </si>
  <si>
    <t>PROJECTS SPONSORSHIP</t>
  </si>
  <si>
    <t>NON PROFIT - 501(C ) 3 - 2 POINTS</t>
  </si>
  <si>
    <t>$500 DONATION BY SPONSOR</t>
  </si>
  <si>
    <t>COMPLETION OF PREDEVELOPMENT ACTIVITIES</t>
  </si>
  <si>
    <t>CONSTRUCTION BY SPONSOR EMPLOYEES</t>
  </si>
  <si>
    <t xml:space="preserve">OWNERSHIP - MARKETING OUTREACH </t>
  </si>
  <si>
    <t xml:space="preserve">OWNERSHIP - FIRST MORTGAGE LOAN </t>
  </si>
  <si>
    <t>MANAGEMENT OF PROPERTY - RENTAL ONLY</t>
  </si>
  <si>
    <t>EMPOWERMENT</t>
  </si>
  <si>
    <t>EMPLOYMENT TRAINING, SKILLS TRAINING, EMPLOYMENT</t>
  </si>
  <si>
    <t>DAYCARE SERVICES</t>
  </si>
  <si>
    <t>TENANT POSITION ON SPONSOR'S BOARD</t>
  </si>
  <si>
    <t>MANDATORY HOMEBUYER COUNSELING - OWNERSHIP</t>
  </si>
  <si>
    <t>CREDIT COUSELING OR FINANCIAL LITERACY</t>
  </si>
  <si>
    <t>EDUCATION SERVICES</t>
  </si>
  <si>
    <t>AHP SUBSIDY PER UNIT</t>
  </si>
  <si>
    <t>=&gt; 10K PER UNIT - 10 POINTS</t>
  </si>
  <si>
    <t>=&gt;13,750 PER UNIT - 8 POINTS</t>
  </si>
  <si>
    <t>=&gt;17,500 - 6 POINTS</t>
  </si>
  <si>
    <t>=&gt; 21,250 - 4 POINTS</t>
  </si>
  <si>
    <t>&gt;25K - 0 POINTS</t>
  </si>
  <si>
    <t>INCOME TARGETING</t>
  </si>
  <si>
    <t>RENTAL PROJECTS</t>
  </si>
  <si>
    <t>=&lt; 60% OF THE UNITS AVAILABLE TO 50% AMGI - 20 POINTS</t>
  </si>
  <si>
    <t>WEIGHTED AVERAGE INCOME</t>
  </si>
  <si>
    <t xml:space="preserve">  &gt;=65% - 10 POINTS</t>
  </si>
  <si>
    <t>&gt;= 60% - 12 POINTS</t>
  </si>
  <si>
    <t>=&gt; 55% - 14 POINTS</t>
  </si>
  <si>
    <t>&lt;55% - 18   POINTS</t>
  </si>
  <si>
    <t>HOUSING OF THE HOMELESS HOUSEHOLDS</t>
  </si>
  <si>
    <t>&gt;85% - 5 POINTS</t>
  </si>
  <si>
    <t>&gt;50% - 2 POINTS</t>
  </si>
  <si>
    <t>&gt;20% - 1 POINT</t>
  </si>
  <si>
    <t>COMMUNITY STABILIZATION</t>
  </si>
  <si>
    <t>ANY PROJECT WITHIN A QCT</t>
  </si>
  <si>
    <t>CONSISTENT WITH LOCAL REDEVELOPMENT PLAN</t>
  </si>
  <si>
    <t>CREATION OF ENERGY EFFICIENT HOUSING</t>
  </si>
  <si>
    <t>ONE OF THE FOLLOWING:</t>
  </si>
  <si>
    <t xml:space="preserve">  REHAB/CONVERSION OF NON-RESIDENTAIL HOUSING</t>
  </si>
  <si>
    <t xml:space="preserve">  PRESERVATION OF AFFORDABLE UNITS</t>
  </si>
  <si>
    <t>CREATING HOUSING UTILIZING PROPERTY THAT IS VACANT (PROPORTIONATE)</t>
  </si>
  <si>
    <t xml:space="preserve">  SUBSTANTIAL REHAB</t>
  </si>
  <si>
    <t>Oberer Thompson Company</t>
  </si>
  <si>
    <t>Current Cost Codes</t>
  </si>
  <si>
    <t>Description</t>
  </si>
  <si>
    <t>GENERAL REQUIREMENTS</t>
  </si>
  <si>
    <t>01250225</t>
  </si>
  <si>
    <t>01310150</t>
  </si>
  <si>
    <t>Building Permit, Tap Fees and Impact Fees</t>
  </si>
  <si>
    <t>01310200</t>
  </si>
  <si>
    <t>01310350</t>
  </si>
  <si>
    <t>01310400</t>
  </si>
  <si>
    <t>Miscellaneous (Labor and Materials)</t>
  </si>
  <si>
    <t>01530200</t>
  </si>
  <si>
    <t>GENERAL REQUIREMENTS TOTAL</t>
  </si>
  <si>
    <t>SITE WORK</t>
  </si>
  <si>
    <t>02220110</t>
  </si>
  <si>
    <t>Asbestos Remediation</t>
  </si>
  <si>
    <t>02220125</t>
  </si>
  <si>
    <t>02225310</t>
  </si>
  <si>
    <t>Demolition and Asbestos Abatement</t>
  </si>
  <si>
    <t>02230300</t>
  </si>
  <si>
    <t>Earthwork</t>
  </si>
  <si>
    <t>02316400</t>
  </si>
  <si>
    <t>02360800</t>
  </si>
  <si>
    <t>02770225</t>
  </si>
  <si>
    <t>02775275</t>
  </si>
  <si>
    <t>02830100</t>
  </si>
  <si>
    <t>02880800</t>
  </si>
  <si>
    <t>02920800</t>
  </si>
  <si>
    <t>Lawns &amp; Plantings</t>
  </si>
  <si>
    <t>SITE WORK TOTAL</t>
  </si>
  <si>
    <t>CONCRETE</t>
  </si>
  <si>
    <t>03310240</t>
  </si>
  <si>
    <t>CONCRETE TOTAL</t>
  </si>
  <si>
    <t>MASONRY</t>
  </si>
  <si>
    <t>04210100</t>
  </si>
  <si>
    <t xml:space="preserve">Masonry   </t>
  </si>
  <si>
    <t>MASONRY TOTAL</t>
  </si>
  <si>
    <t>METALS</t>
  </si>
  <si>
    <t>05120100</t>
  </si>
  <si>
    <t>METALS TOTAL</t>
  </si>
  <si>
    <t>WOOD AND PLASTIC</t>
  </si>
  <si>
    <t>06110400</t>
  </si>
  <si>
    <t>06220600</t>
  </si>
  <si>
    <t>06410220</t>
  </si>
  <si>
    <t>WOOD AND PLASTIC TOTAL</t>
  </si>
  <si>
    <t>THERMAL AND MOISTURE PROTECTION</t>
  </si>
  <si>
    <t>07110100</t>
  </si>
  <si>
    <t>07210150</t>
  </si>
  <si>
    <t>Building Insulation</t>
  </si>
  <si>
    <t>07310160</t>
  </si>
  <si>
    <t>07710400</t>
  </si>
  <si>
    <t>Gutters &amp; Downspouts</t>
  </si>
  <si>
    <t>07710450</t>
  </si>
  <si>
    <t>Siding, Soffit, Fascia, and Exterior Sheathing</t>
  </si>
  <si>
    <t>THERMAL AND MOISTURE PROTECTION TOTAL</t>
  </si>
  <si>
    <t>DOORS AND WINDOWS</t>
  </si>
  <si>
    <t>08280120</t>
  </si>
  <si>
    <t xml:space="preserve">Doors  </t>
  </si>
  <si>
    <t>08550320</t>
  </si>
  <si>
    <t>08830100</t>
  </si>
  <si>
    <t>DOORS AND WINDOWS TOTAL</t>
  </si>
  <si>
    <t>FINISHES</t>
  </si>
  <si>
    <t>09280250</t>
  </si>
  <si>
    <t>Drywall L/M</t>
  </si>
  <si>
    <t>09510760</t>
  </si>
  <si>
    <t>09650000</t>
  </si>
  <si>
    <t>09658150</t>
  </si>
  <si>
    <t>Resilient Flooring L/M</t>
  </si>
  <si>
    <t>09680800</t>
  </si>
  <si>
    <t>Carpeting</t>
  </si>
  <si>
    <t>09910150</t>
  </si>
  <si>
    <t>FINISHES TOTAL</t>
  </si>
  <si>
    <t>SPECIALTIES</t>
  </si>
  <si>
    <t>10505600</t>
  </si>
  <si>
    <t>10820100</t>
  </si>
  <si>
    <t>SPECIALTIES TOTAL</t>
  </si>
  <si>
    <t>EQUIPMENT</t>
  </si>
  <si>
    <t>11454500</t>
  </si>
  <si>
    <t>11454700</t>
  </si>
  <si>
    <t>EQUIPMENT TOTAL</t>
  </si>
  <si>
    <t>FURNISHINGS</t>
  </si>
  <si>
    <t>12492200</t>
  </si>
  <si>
    <t>Blinds and shades, Artwork</t>
  </si>
  <si>
    <t>FURNISHINGS TOTAL</t>
  </si>
  <si>
    <t>SPECIAL EQUIPMENT</t>
  </si>
  <si>
    <t>13930400</t>
  </si>
  <si>
    <t>SPECIAL EQUIPMENT TOTAL</t>
  </si>
  <si>
    <t>CONVEYING SYSTEMS</t>
  </si>
  <si>
    <t>14210200</t>
  </si>
  <si>
    <t>CONVEYING SYSTEMS TOTAL</t>
  </si>
  <si>
    <t>15410100</t>
  </si>
  <si>
    <t>15510100</t>
  </si>
  <si>
    <t>Heating, Ventilation and Air Conditioning</t>
  </si>
  <si>
    <t>MECHANICAL TOTAL</t>
  </si>
  <si>
    <t>16139700</t>
  </si>
  <si>
    <t>ELECTRICAL TOTAL</t>
  </si>
  <si>
    <t>GRAND TOTAL</t>
  </si>
  <si>
    <t>AVERAGE AFFORDABILITY</t>
  </si>
  <si>
    <t>PAYROLL TAXES/BENEFITS</t>
  </si>
  <si>
    <t>AFFORDABLE</t>
  </si>
  <si>
    <t>OCCUPIED</t>
  </si>
  <si>
    <t>AVERAGE INCOME LEVEL</t>
  </si>
  <si>
    <t>CREDITS REQUESTED</t>
  </si>
  <si>
    <t>MAX CREDITS</t>
  </si>
  <si>
    <t>POINTS</t>
  </si>
  <si>
    <t>WEIGHT</t>
  </si>
  <si>
    <t>TDC PER NET RENTAL SQ FT.</t>
  </si>
  <si>
    <t xml:space="preserve">TDC  </t>
  </si>
  <si>
    <t>NET RENTALABLE SQ FT.</t>
  </si>
  <si>
    <t>TDC PER SQ FT</t>
  </si>
  <si>
    <t>CREDITS FROM MAX</t>
  </si>
  <si>
    <t>TDC PER NET RENTABLE</t>
  </si>
  <si>
    <t>COST REDUCTION NEEDED FOR ADDITIONAL POINT</t>
  </si>
  <si>
    <t>CREDITS PER UNIT</t>
  </si>
  <si>
    <t>NUMBER UNITS</t>
  </si>
  <si>
    <t>CREDIT PER UNIT</t>
  </si>
  <si>
    <t>ANNUAL CREDIT FOREGONE FOR ADDITIONAL POINT</t>
  </si>
  <si>
    <t>EQUITY GIVEN UP TO GAIN POINT</t>
  </si>
  <si>
    <t>TDC PER UNIT</t>
  </si>
  <si>
    <t>TDC DROP REQUIRED FOR ADDITIONAL POINT</t>
  </si>
  <si>
    <t>PERCENT OF ELI UNITS</t>
  </si>
  <si>
    <t>ELI UNITS</t>
  </si>
  <si>
    <t>TOTAL UNITS</t>
  </si>
  <si>
    <t>PERCENT ELI UNITS</t>
  </si>
  <si>
    <t>NUMBER OF ELI UNITS FOR ADDITIONAL POINT</t>
  </si>
  <si>
    <t>NOI DECREASE - ADDITIONAL POINT</t>
  </si>
  <si>
    <t>NEW AFFORDABILITY</t>
  </si>
  <si>
    <t>MEETS FIVE POOL CATEGORIES</t>
  </si>
  <si>
    <t>FIRST LOAN</t>
  </si>
  <si>
    <t>HARD DEBT</t>
  </si>
  <si>
    <t>TDC</t>
  </si>
  <si>
    <t>PERCENTAGE OF HARD DEBT</t>
  </si>
  <si>
    <t>DEFERRED FEE</t>
  </si>
  <si>
    <t>PERCENTAGE OF DEFERRED FEE</t>
  </si>
  <si>
    <t>TOTAL TIE-BREAKER SCORE</t>
  </si>
  <si>
    <t>CREDITS UNDER MAX</t>
  </si>
  <si>
    <t>CREDIT REDUCTION REQUIRED FOR ADDITIONAL POINT</t>
  </si>
  <si>
    <t>COST INCREASE BEFORE POINT LOST</t>
  </si>
  <si>
    <t>DEBT CHANGE - ADDITIONAL POINT</t>
  </si>
  <si>
    <t>OHFA TIE-BREAK ANALYSIS</t>
  </si>
  <si>
    <t xml:space="preserve">  Topographical and boundary</t>
  </si>
  <si>
    <t>AVERAGE INCOME RESTRICTION</t>
  </si>
  <si>
    <t>PERCENTAGE OF UNITS AT OR BELOW 50% AMGI</t>
  </si>
  <si>
    <t>SOFT COST</t>
  </si>
  <si>
    <t>FEASIBILITY ANALYSIS</t>
  </si>
  <si>
    <t>TOTAL PROJECT COST</t>
  </si>
  <si>
    <t>TOTAL PROJECT COST PER UNIT</t>
  </si>
  <si>
    <t>MAXIMUM ALLOWABLE</t>
  </si>
  <si>
    <t>LESS: DEVELOPER FEE</t>
  </si>
  <si>
    <t>TOTAL DEVELOPMENT COST</t>
  </si>
  <si>
    <t>DEVELOPER FEE - PERCENT OF TDC</t>
  </si>
  <si>
    <t>MINIMUM LIHTC EQUITY</t>
  </si>
  <si>
    <t>SOFT COST - PERCENT OF TPC</t>
  </si>
  <si>
    <t>MAXIMUM SOFT COST</t>
  </si>
  <si>
    <t>TOTAL HARD COST</t>
  </si>
  <si>
    <t>LESS: CONTINGENCY</t>
  </si>
  <si>
    <t>TOTAL HARD COST LESS CONTINGENCY</t>
  </si>
  <si>
    <t>PERCENTAGE CONTINGENCY</t>
  </si>
  <si>
    <t>CONTINGENCY - HARD COST</t>
  </si>
  <si>
    <t>CONTINGENCY - SOFT COST</t>
  </si>
  <si>
    <t>TOTAL SOFT COST</t>
  </si>
  <si>
    <t>TOTAL SOFT COST LESS CONTINGENCY</t>
  </si>
  <si>
    <t>Lease Up Reserve</t>
  </si>
  <si>
    <t>LEASE UP RESERVE</t>
  </si>
  <si>
    <t>OPERATING RESERVE</t>
  </si>
  <si>
    <t>CAPITALIZED ASSET MANAGEMENT FEE</t>
  </si>
  <si>
    <t>TOTAL ANNUAL PAYMENTS</t>
  </si>
  <si>
    <t>NUMBER OF MONTHS OF RESERVE</t>
  </si>
  <si>
    <t>TOTAL CAPITALIZED COST</t>
  </si>
  <si>
    <t>BUILDER PROFIT</t>
  </si>
  <si>
    <t>BUILDER OVERHEAD</t>
  </si>
  <si>
    <t>TOTAL CONTRACTOR COST</t>
  </si>
  <si>
    <t>LESS: CONTRACTOR COST</t>
  </si>
  <si>
    <t>HARD COST NET OF CONTRACTOR COST</t>
  </si>
  <si>
    <t>PERCENTAGE CONTRACTOR COST</t>
  </si>
  <si>
    <t>OPERATING CASH FLOW</t>
  </si>
  <si>
    <t>MINIMUM CASH FLOW DURING FIRST FIFTEEN YEARS</t>
  </si>
  <si>
    <t>OPERATING COST</t>
  </si>
  <si>
    <t>OPERATING COST PER UNIT</t>
  </si>
  <si>
    <t>REPLACEMENT RESERVE - PER UNIT</t>
  </si>
  <si>
    <t>DEBT SERVICE COVERAGE</t>
  </si>
  <si>
    <t>MAXIMUM DEBT SERVICE COVERAGE DURING FIRST FIFTEEN YEARS</t>
  </si>
  <si>
    <t>MINIMUM DEBT SERVICE COVERAGE DURING FIRST FIFTEEN YEARS</t>
  </si>
  <si>
    <t>MINIMUM ALLOWABLE</t>
  </si>
  <si>
    <t>ADVERTISING AND MARKETING</t>
  </si>
  <si>
    <t>OFFICE EXPENSES</t>
  </si>
  <si>
    <t>ADMINISTRATIVE SALARIES</t>
  </si>
  <si>
    <t>TELEPHONE</t>
  </si>
  <si>
    <t>MANAGEMENT SALARY</t>
  </si>
  <si>
    <t>AUDIT EXPENSE</t>
  </si>
  <si>
    <t>LEGAL EXPENSE</t>
  </si>
  <si>
    <t>BAD DEBT</t>
  </si>
  <si>
    <t>TENANT RELATIONS</t>
  </si>
  <si>
    <t>MISCELLANEOUS ADMINISTRATIVE EXPENSE</t>
  </si>
  <si>
    <t>WATER</t>
  </si>
  <si>
    <t>SEWER</t>
  </si>
  <si>
    <t>CABLE/INTERNET</t>
  </si>
  <si>
    <t>OPERATING MAINTENANCE CONTRACTS</t>
  </si>
  <si>
    <t>ELEVATOR</t>
  </si>
  <si>
    <t>GARBAGE - TRASH</t>
  </si>
  <si>
    <t>JANITOR PAYROLL</t>
  </si>
  <si>
    <t>MAINTENANCE PAYROLL</t>
  </si>
  <si>
    <t>MAINTENANCE SUPPLIES</t>
  </si>
  <si>
    <t xml:space="preserve">  Radon Testing</t>
  </si>
  <si>
    <t xml:space="preserve"> HEERS Testing</t>
  </si>
  <si>
    <t>INCOME BEFORE LAND LEASE</t>
  </si>
  <si>
    <t>LAND LEASE</t>
  </si>
  <si>
    <t>GROUND LEASE</t>
  </si>
  <si>
    <t>CASH AVAILABLE FOR DEBT SERVICE</t>
  </si>
  <si>
    <t>PERCENTAGE OF UNITS AT OR BELOW 30%</t>
  </si>
  <si>
    <t>PERCENTAGE OF ONE BEDROOM UNITS</t>
  </si>
  <si>
    <t>ELECTRIC - COMMON</t>
  </si>
  <si>
    <t>AFFORDABLE UNITS</t>
  </si>
  <si>
    <t>CONSTRUCTION OR BRIDGE LOAN</t>
  </si>
  <si>
    <t>MARKET</t>
  </si>
  <si>
    <t>SQ. FT.</t>
  </si>
  <si>
    <t>SQ FT</t>
  </si>
  <si>
    <t>REPLACEMENT RESERVE/SUPPORTIVE SERVICES</t>
  </si>
  <si>
    <t xml:space="preserve"> Acquisition ALTA </t>
  </si>
  <si>
    <t>Updates/revisions for closing</t>
  </si>
  <si>
    <t>Appraisal - initial application/lender</t>
  </si>
  <si>
    <t>Permits - building/tap fee</t>
  </si>
  <si>
    <t>SPECIAL HUD COUNSEL</t>
  </si>
  <si>
    <t>NEED TO CONFIRM</t>
  </si>
  <si>
    <t>PREPARE DOCUMENTS FOR 8609</t>
  </si>
  <si>
    <t>INCREASE</t>
  </si>
  <si>
    <t>TO VOUCHER</t>
  </si>
  <si>
    <t>GROUNDS/SNOW REMOVAL</t>
  </si>
  <si>
    <t>OPERATING EXPENSES - PERCENTAGE OF INCOME</t>
  </si>
  <si>
    <t>EXPENSE/INCOME</t>
  </si>
  <si>
    <t>Furniture - excluding appliances</t>
  </si>
  <si>
    <t>Jan 2023</t>
  </si>
  <si>
    <t>ROCKDELL</t>
  </si>
  <si>
    <t>OHFA Bid Worksheet</t>
  </si>
  <si>
    <t>WITH PREVAILING WAGES</t>
  </si>
  <si>
    <t>PW</t>
  </si>
  <si>
    <t>(a) May be able to reuse the exisiting storm water system which would result in construction savings.  Current estimate assumes it cannot be reused.</t>
  </si>
  <si>
    <t>Total Site Work and Building</t>
  </si>
  <si>
    <t>Total Builder Fees</t>
  </si>
  <si>
    <t xml:space="preserve">  Initial Site and Utility Plan</t>
  </si>
  <si>
    <t xml:space="preserve">  Provision for T&amp;M </t>
  </si>
  <si>
    <t>SECURITY</t>
  </si>
  <si>
    <t>HVAC REPAIRS</t>
  </si>
  <si>
    <t>AVERAGE EXPENSE/INCOME</t>
  </si>
  <si>
    <t>$145 per unit</t>
  </si>
  <si>
    <t>Allocated to remaining land</t>
  </si>
  <si>
    <t>BANK INSPECTOR</t>
  </si>
  <si>
    <t>MVHO - TINY HOME COMMUNITY</t>
  </si>
  <si>
    <t>DEVELOPMENT COST PROJECTION - DRAFT</t>
  </si>
  <si>
    <t>Number of units</t>
  </si>
  <si>
    <t>Community Building</t>
  </si>
  <si>
    <t>Work excluded from Uni-Built scope</t>
  </si>
  <si>
    <t>Assumes none is required</t>
  </si>
  <si>
    <t>assumes no testing is required</t>
  </si>
  <si>
    <t>OWNER POLICY $6 MILLION</t>
  </si>
  <si>
    <t>15% of PREMIUM</t>
  </si>
  <si>
    <t>15 acres at $20,000</t>
  </si>
  <si>
    <t>Unibuilt- 504 compliant unit</t>
  </si>
  <si>
    <t>Unibuilt - unit (396 sq. ft.)</t>
  </si>
  <si>
    <t xml:space="preserve">  Consulting </t>
  </si>
  <si>
    <t>Per Unit Incremental Cost</t>
  </si>
  <si>
    <t>Contractor Fee</t>
  </si>
  <si>
    <t xml:space="preserve">  Soil testing</t>
  </si>
  <si>
    <t>Developer Overhead Allowance</t>
  </si>
  <si>
    <t>Soft Cost</t>
  </si>
  <si>
    <t>Total Development Cost</t>
  </si>
  <si>
    <t>Cost per unit</t>
  </si>
  <si>
    <t>includes an allowance for inflation</t>
  </si>
  <si>
    <t>SEPTEMBER 12, 2023</t>
  </si>
  <si>
    <t>Development 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</si>
</sst>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0.0000"/>
    <numFmt numFmtId="168" formatCode="_(* #,##0.0000_);_(* \(#,##0.0000\);_(* &quot;-&quot;??_);_(@_)"/>
    <numFmt numFmtId="169" formatCode="0.0"/>
    <numFmt numFmtId="170" formatCode="0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  <family val="2"/>
    </font>
    <font>
      <sz val="10"/>
      <name val="Arial"/>
      <family val="2"/>
    </font>
    <font>
      <u val="doubleAccounting"/>
      <sz val="10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double"/>
      <sz val="10"/>
      <name val="Arial"/>
      <family val="2"/>
    </font>
    <font>
      <b/>
      <u val="singleAccounting"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u val="singleAccounting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/>
    <xf numFmtId="0" fontId="3" fillId="0" borderId="0" xfId="0" quotePrefix="1" applyFont="1"/>
    <xf numFmtId="164" fontId="0" fillId="0" borderId="0" xfId="1" applyNumberFormat="1" applyFont="1"/>
    <xf numFmtId="164" fontId="4" fillId="0" borderId="0" xfId="1" applyNumberFormat="1" applyFont="1"/>
    <xf numFmtId="164" fontId="5" fillId="0" borderId="0" xfId="1" applyNumberFormat="1" applyFont="1"/>
    <xf numFmtId="0" fontId="0" fillId="0" borderId="0" xfId="0" applyAlignment="1">
      <alignment horizontal="center"/>
    </xf>
    <xf numFmtId="164" fontId="6" fillId="0" borderId="0" xfId="1" applyNumberFormat="1" applyFont="1"/>
    <xf numFmtId="164" fontId="0" fillId="0" borderId="0" xfId="0" applyNumberFormat="1"/>
    <xf numFmtId="9" fontId="0" fillId="0" borderId="0" xfId="2" applyFont="1"/>
    <xf numFmtId="10" fontId="0" fillId="0" borderId="0" xfId="2" applyNumberFormat="1" applyFont="1"/>
    <xf numFmtId="0" fontId="6" fillId="0" borderId="0" xfId="0" applyFont="1"/>
    <xf numFmtId="164" fontId="5" fillId="0" borderId="0" xfId="0" applyNumberFormat="1" applyFont="1"/>
    <xf numFmtId="164" fontId="2" fillId="0" borderId="0" xfId="1" applyNumberFormat="1" applyFont="1"/>
    <xf numFmtId="165" fontId="0" fillId="0" borderId="0" xfId="2" applyNumberFormat="1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3" fontId="10" fillId="0" borderId="0" xfId="0" applyNumberFormat="1" applyFont="1"/>
    <xf numFmtId="164" fontId="10" fillId="0" borderId="0" xfId="1" applyNumberFormat="1" applyFont="1"/>
    <xf numFmtId="3" fontId="10" fillId="0" borderId="0" xfId="0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3" fontId="11" fillId="0" borderId="0" xfId="0" applyNumberFormat="1" applyFont="1"/>
    <xf numFmtId="164" fontId="11" fillId="0" borderId="0" xfId="1" applyNumberFormat="1" applyFont="1"/>
    <xf numFmtId="164" fontId="10" fillId="0" borderId="0" xfId="0" applyNumberFormat="1" applyFont="1"/>
    <xf numFmtId="164" fontId="12" fillId="0" borderId="0" xfId="1" applyNumberFormat="1" applyFont="1"/>
    <xf numFmtId="166" fontId="10" fillId="0" borderId="0" xfId="0" applyNumberFormat="1" applyFont="1"/>
    <xf numFmtId="9" fontId="10" fillId="0" borderId="0" xfId="2" applyFont="1"/>
    <xf numFmtId="10" fontId="10" fillId="0" borderId="0" xfId="2" applyNumberFormat="1" applyFont="1"/>
    <xf numFmtId="164" fontId="12" fillId="0" borderId="0" xfId="0" applyNumberFormat="1" applyFont="1"/>
    <xf numFmtId="43" fontId="0" fillId="0" borderId="0" xfId="0" applyNumberFormat="1"/>
    <xf numFmtId="15" fontId="3" fillId="0" borderId="0" xfId="0" quotePrefix="1" applyNumberFormat="1" applyFont="1"/>
    <xf numFmtId="0" fontId="10" fillId="2" borderId="0" xfId="0" applyFont="1" applyFill="1"/>
    <xf numFmtId="165" fontId="0" fillId="0" borderId="0" xfId="2" applyNumberFormat="1" applyFont="1" applyAlignment="1">
      <alignment horizontal="left" indent="2"/>
    </xf>
    <xf numFmtId="164" fontId="10" fillId="0" borderId="0" xfId="1" applyNumberFormat="1" applyFont="1" applyFill="1"/>
    <xf numFmtId="164" fontId="6" fillId="0" borderId="0" xfId="0" applyNumberFormat="1" applyFont="1"/>
    <xf numFmtId="164" fontId="10" fillId="0" borderId="0" xfId="1" applyNumberFormat="1" applyFont="1" applyFill="1" applyAlignment="1">
      <alignment horizontal="right"/>
    </xf>
    <xf numFmtId="164" fontId="6" fillId="0" borderId="0" xfId="1" applyNumberFormat="1" applyFont="1" applyFill="1"/>
    <xf numFmtId="164" fontId="4" fillId="0" borderId="0" xfId="1" applyNumberFormat="1" applyFont="1" applyFill="1"/>
    <xf numFmtId="164" fontId="13" fillId="2" borderId="0" xfId="1" applyNumberFormat="1" applyFont="1" applyFill="1"/>
    <xf numFmtId="164" fontId="10" fillId="2" borderId="0" xfId="1" applyNumberFormat="1" applyFont="1" applyFill="1"/>
    <xf numFmtId="0" fontId="10" fillId="0" borderId="2" xfId="0" applyFont="1" applyBorder="1"/>
    <xf numFmtId="164" fontId="11" fillId="0" borderId="0" xfId="1" applyNumberFormat="1" applyFont="1" applyBorder="1"/>
    <xf numFmtId="9" fontId="10" fillId="0" borderId="0" xfId="2" applyFont="1" applyBorder="1"/>
    <xf numFmtId="164" fontId="10" fillId="0" borderId="0" xfId="1" applyNumberFormat="1" applyFont="1" applyBorder="1"/>
    <xf numFmtId="0" fontId="10" fillId="0" borderId="7" xfId="0" applyFont="1" applyBorder="1"/>
    <xf numFmtId="164" fontId="10" fillId="0" borderId="0" xfId="1" applyNumberFormat="1" applyFont="1" applyFill="1" applyBorder="1"/>
    <xf numFmtId="164" fontId="12" fillId="0" borderId="0" xfId="1" applyNumberFormat="1" applyFont="1" applyFill="1" applyBorder="1"/>
    <xf numFmtId="10" fontId="10" fillId="0" borderId="0" xfId="2" applyNumberFormat="1" applyFont="1" applyBorder="1"/>
    <xf numFmtId="0" fontId="14" fillId="0" borderId="0" xfId="0" applyFont="1"/>
    <xf numFmtId="164" fontId="4" fillId="0" borderId="0" xfId="0" applyNumberFormat="1" applyFont="1"/>
    <xf numFmtId="43" fontId="0" fillId="0" borderId="0" xfId="1" applyFont="1"/>
    <xf numFmtId="168" fontId="10" fillId="0" borderId="0" xfId="1" applyNumberFormat="1" applyFont="1" applyBorder="1"/>
    <xf numFmtId="165" fontId="10" fillId="0" borderId="0" xfId="2" applyNumberFormat="1" applyFont="1" applyBorder="1"/>
    <xf numFmtId="0" fontId="3" fillId="0" borderId="0" xfId="0" quotePrefix="1" applyFont="1" applyAlignment="1">
      <alignment horizontal="center"/>
    </xf>
    <xf numFmtId="164" fontId="0" fillId="0" borderId="0" xfId="1" applyNumberFormat="1" applyFont="1" applyFill="1"/>
    <xf numFmtId="167" fontId="0" fillId="0" borderId="0" xfId="0" applyNumberFormat="1"/>
    <xf numFmtId="166" fontId="0" fillId="0" borderId="0" xfId="1" applyNumberFormat="1" applyFont="1"/>
    <xf numFmtId="0" fontId="0" fillId="0" borderId="0" xfId="0" applyAlignment="1">
      <alignment horizontal="left"/>
    </xf>
    <xf numFmtId="14" fontId="0" fillId="0" borderId="0" xfId="1" applyNumberFormat="1" applyFont="1" applyAlignment="1">
      <alignment horizontal="center"/>
    </xf>
    <xf numFmtId="164" fontId="0" fillId="3" borderId="0" xfId="1" applyNumberFormat="1" applyFont="1" applyFill="1"/>
    <xf numFmtId="0" fontId="2" fillId="0" borderId="0" xfId="0" applyFont="1"/>
    <xf numFmtId="0" fontId="15" fillId="0" borderId="0" xfId="0" applyFont="1"/>
    <xf numFmtId="0" fontId="2" fillId="0" borderId="0" xfId="0" applyFont="1" applyAlignment="1">
      <alignment horizontal="center"/>
    </xf>
    <xf numFmtId="0" fontId="17" fillId="0" borderId="0" xfId="3" applyFont="1" applyAlignment="1">
      <alignment wrapText="1"/>
    </xf>
    <xf numFmtId="0" fontId="17" fillId="0" borderId="0" xfId="3" applyFont="1"/>
    <xf numFmtId="0" fontId="18" fillId="0" borderId="10" xfId="3" applyFont="1" applyBorder="1"/>
    <xf numFmtId="0" fontId="18" fillId="0" borderId="10" xfId="3" applyFont="1" applyBorder="1" applyProtection="1">
      <protection locked="0"/>
    </xf>
    <xf numFmtId="0" fontId="18" fillId="0" borderId="0" xfId="3" applyFont="1"/>
    <xf numFmtId="0" fontId="18" fillId="0" borderId="12" xfId="3" applyFont="1" applyBorder="1"/>
    <xf numFmtId="0" fontId="19" fillId="0" borderId="0" xfId="3" applyFont="1"/>
    <xf numFmtId="0" fontId="18" fillId="2" borderId="10" xfId="3" applyFont="1" applyFill="1" applyBorder="1"/>
    <xf numFmtId="0" fontId="18" fillId="2" borderId="0" xfId="3" applyFont="1" applyFill="1"/>
    <xf numFmtId="0" fontId="19" fillId="2" borderId="0" xfId="3" applyFont="1" applyFill="1"/>
    <xf numFmtId="0" fontId="18" fillId="0" borderId="13" xfId="3" applyFont="1" applyBorder="1"/>
    <xf numFmtId="0" fontId="19" fillId="0" borderId="14" xfId="3" applyFont="1" applyBorder="1" applyAlignment="1">
      <alignment horizontal="center" wrapText="1"/>
    </xf>
    <xf numFmtId="0" fontId="19" fillId="0" borderId="12" xfId="3" applyFont="1" applyBorder="1"/>
    <xf numFmtId="164" fontId="17" fillId="0" borderId="0" xfId="1" applyNumberFormat="1" applyFont="1" applyAlignment="1" applyProtection="1">
      <alignment horizontal="center" wrapText="1"/>
    </xf>
    <xf numFmtId="164" fontId="17" fillId="0" borderId="0" xfId="1" applyNumberFormat="1" applyFont="1" applyAlignment="1" applyProtection="1">
      <alignment horizontal="right"/>
    </xf>
    <xf numFmtId="164" fontId="16" fillId="0" borderId="9" xfId="1" applyNumberFormat="1" applyFont="1" applyBorder="1" applyAlignment="1" applyProtection="1">
      <alignment horizontal="right"/>
      <protection locked="0"/>
    </xf>
    <xf numFmtId="164" fontId="16" fillId="0" borderId="0" xfId="1" applyNumberFormat="1" applyFont="1" applyBorder="1" applyAlignment="1">
      <alignment horizontal="right"/>
    </xf>
    <xf numFmtId="164" fontId="16" fillId="0" borderId="11" xfId="1" applyNumberFormat="1" applyFont="1" applyBorder="1" applyAlignment="1">
      <alignment horizontal="right"/>
    </xf>
    <xf numFmtId="164" fontId="18" fillId="2" borderId="0" xfId="1" applyNumberFormat="1" applyFont="1" applyFill="1" applyBorder="1" applyAlignment="1">
      <alignment horizontal="right"/>
    </xf>
    <xf numFmtId="164" fontId="18" fillId="2" borderId="9" xfId="1" applyNumberFormat="1" applyFont="1" applyFill="1" applyBorder="1" applyAlignment="1" applyProtection="1">
      <alignment horizontal="right"/>
      <protection locked="0"/>
    </xf>
    <xf numFmtId="164" fontId="16" fillId="0" borderId="0" xfId="1" applyNumberFormat="1" applyFont="1"/>
    <xf numFmtId="164" fontId="2" fillId="0" borderId="0" xfId="1" applyNumberFormat="1" applyFont="1" applyAlignment="1">
      <alignment horizontal="center"/>
    </xf>
    <xf numFmtId="14" fontId="0" fillId="0" borderId="0" xfId="1" applyNumberFormat="1" applyFont="1"/>
    <xf numFmtId="0" fontId="2" fillId="0" borderId="1" xfId="0" applyFont="1" applyBorder="1"/>
    <xf numFmtId="0" fontId="2" fillId="0" borderId="4" xfId="0" applyFont="1" applyBorder="1"/>
    <xf numFmtId="164" fontId="4" fillId="0" borderId="0" xfId="1" applyNumberFormat="1" applyFont="1" applyBorder="1"/>
    <xf numFmtId="0" fontId="2" fillId="0" borderId="6" xfId="0" applyFont="1" applyBorder="1"/>
    <xf numFmtId="0" fontId="2" fillId="0" borderId="0" xfId="0" applyFont="1" applyAlignment="1">
      <alignment horizontal="left"/>
    </xf>
    <xf numFmtId="164" fontId="5" fillId="0" borderId="0" xfId="1" applyNumberFormat="1" applyFont="1" applyFill="1"/>
    <xf numFmtId="164" fontId="2" fillId="0" borderId="0" xfId="1" applyNumberFormat="1" applyFont="1" applyBorder="1"/>
    <xf numFmtId="9" fontId="2" fillId="0" borderId="0" xfId="2" applyFont="1" applyBorder="1"/>
    <xf numFmtId="14" fontId="10" fillId="0" borderId="0" xfId="0" applyNumberFormat="1" applyFont="1"/>
    <xf numFmtId="43" fontId="10" fillId="0" borderId="0" xfId="1" applyFont="1" applyBorder="1"/>
    <xf numFmtId="164" fontId="2" fillId="0" borderId="0" xfId="1" applyNumberFormat="1" applyFont="1" applyAlignment="1">
      <alignment horizontal="right"/>
    </xf>
    <xf numFmtId="165" fontId="2" fillId="0" borderId="0" xfId="2" applyNumberFormat="1" applyFont="1" applyBorder="1" applyAlignment="1">
      <alignment horizontal="center"/>
    </xf>
    <xf numFmtId="10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168" fontId="0" fillId="0" borderId="0" xfId="1" applyNumberFormat="1" applyFont="1"/>
    <xf numFmtId="0" fontId="20" fillId="0" borderId="0" xfId="0" applyFont="1"/>
    <xf numFmtId="43" fontId="2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0" xfId="0" quotePrefix="1" applyFont="1" applyAlignment="1">
      <alignment horizontal="left"/>
    </xf>
    <xf numFmtId="164" fontId="4" fillId="2" borderId="0" xfId="1" applyNumberFormat="1" applyFont="1" applyFill="1"/>
    <xf numFmtId="169" fontId="0" fillId="0" borderId="0" xfId="0" applyNumberFormat="1" applyAlignment="1">
      <alignment horizontal="center"/>
    </xf>
    <xf numFmtId="15" fontId="3" fillId="0" borderId="0" xfId="0" applyNumberFormat="1" applyFont="1"/>
    <xf numFmtId="0" fontId="2" fillId="0" borderId="0" xfId="0" quotePrefix="1" applyFont="1"/>
    <xf numFmtId="165" fontId="10" fillId="0" borderId="0" xfId="2" applyNumberFormat="1" applyFont="1"/>
    <xf numFmtId="8" fontId="0" fillId="0" borderId="0" xfId="0" applyNumberFormat="1"/>
    <xf numFmtId="165" fontId="2" fillId="0" borderId="0" xfId="2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15" fontId="0" fillId="0" borderId="0" xfId="0" applyNumberFormat="1"/>
    <xf numFmtId="10" fontId="0" fillId="0" borderId="0" xfId="0" applyNumberFormat="1"/>
    <xf numFmtId="164" fontId="2" fillId="0" borderId="0" xfId="0" applyNumberFormat="1" applyFont="1"/>
    <xf numFmtId="164" fontId="20" fillId="0" borderId="0" xfId="1" applyNumberFormat="1" applyFont="1"/>
    <xf numFmtId="10" fontId="2" fillId="0" borderId="0" xfId="2" applyNumberFormat="1" applyFont="1" applyBorder="1"/>
    <xf numFmtId="164" fontId="0" fillId="0" borderId="0" xfId="1" applyNumberFormat="1" applyFont="1" applyAlignment="1">
      <alignment horizontal="center"/>
    </xf>
    <xf numFmtId="165" fontId="0" fillId="0" borderId="0" xfId="0" applyNumberFormat="1"/>
    <xf numFmtId="43" fontId="0" fillId="0" borderId="0" xfId="1" applyFont="1" applyAlignment="1">
      <alignment horizontal="left"/>
    </xf>
    <xf numFmtId="9" fontId="0" fillId="0" borderId="0" xfId="0" applyNumberFormat="1"/>
    <xf numFmtId="0" fontId="3" fillId="3" borderId="0" xfId="0" applyFont="1" applyFill="1"/>
    <xf numFmtId="0" fontId="0" fillId="3" borderId="0" xfId="0" applyFill="1"/>
    <xf numFmtId="0" fontId="0" fillId="3" borderId="0" xfId="0" quotePrefix="1" applyFill="1"/>
    <xf numFmtId="0" fontId="2" fillId="3" borderId="0" xfId="0" applyFont="1" applyFill="1"/>
    <xf numFmtId="164" fontId="2" fillId="0" borderId="0" xfId="0" applyNumberFormat="1" applyFont="1" applyAlignment="1">
      <alignment horizontal="left"/>
    </xf>
    <xf numFmtId="164" fontId="4" fillId="0" borderId="0" xfId="1" applyNumberFormat="1" applyFont="1" applyFill="1" applyBorder="1"/>
    <xf numFmtId="42" fontId="0" fillId="4" borderId="15" xfId="4" applyNumberFormat="1" applyFont="1" applyFill="1" applyBorder="1" applyProtection="1">
      <protection locked="0"/>
    </xf>
    <xf numFmtId="49" fontId="0" fillId="0" borderId="0" xfId="0" applyNumberFormat="1"/>
    <xf numFmtId="44" fontId="0" fillId="0" borderId="0" xfId="4" applyFont="1" applyFill="1" applyBorder="1"/>
    <xf numFmtId="0" fontId="26" fillId="0" borderId="0" xfId="0" applyFont="1" applyAlignment="1">
      <alignment horizontal="center"/>
    </xf>
    <xf numFmtId="44" fontId="15" fillId="0" borderId="0" xfId="4" applyFont="1" applyFill="1" applyBorder="1"/>
    <xf numFmtId="49" fontId="2" fillId="0" borderId="0" xfId="0" applyNumberFormat="1" applyFont="1"/>
    <xf numFmtId="44" fontId="0" fillId="0" borderId="0" xfId="0" applyNumberFormat="1"/>
    <xf numFmtId="44" fontId="26" fillId="0" borderId="0" xfId="4" applyFont="1" applyFill="1" applyBorder="1" applyAlignment="1">
      <alignment horizontal="center"/>
    </xf>
    <xf numFmtId="10" fontId="0" fillId="0" borderId="0" xfId="2" applyNumberFormat="1" applyFont="1" applyFill="1" applyBorder="1"/>
    <xf numFmtId="49" fontId="15" fillId="0" borderId="0" xfId="0" applyNumberFormat="1" applyFont="1" applyAlignment="1">
      <alignment horizontal="center"/>
    </xf>
    <xf numFmtId="49" fontId="0" fillId="0" borderId="0" xfId="0" quotePrefix="1" applyNumberFormat="1"/>
    <xf numFmtId="49" fontId="1" fillId="0" borderId="0" xfId="5" applyNumberFormat="1"/>
    <xf numFmtId="0" fontId="1" fillId="0" borderId="0" xfId="5"/>
    <xf numFmtId="170" fontId="2" fillId="0" borderId="0" xfId="5" applyNumberFormat="1" applyFont="1" applyAlignment="1">
      <alignment horizontal="center"/>
    </xf>
    <xf numFmtId="170" fontId="15" fillId="0" borderId="0" xfId="5" applyNumberFormat="1" applyFont="1" applyAlignment="1">
      <alignment horizontal="center"/>
    </xf>
    <xf numFmtId="0" fontId="16" fillId="0" borderId="0" xfId="5" applyFont="1"/>
    <xf numFmtId="170" fontId="15" fillId="0" borderId="0" xfId="5" applyNumberFormat="1" applyFont="1" applyAlignment="1">
      <alignment horizontal="right"/>
    </xf>
    <xf numFmtId="170" fontId="1" fillId="0" borderId="0" xfId="5" applyNumberFormat="1" applyAlignment="1">
      <alignment horizontal="center"/>
    </xf>
    <xf numFmtId="170" fontId="1" fillId="0" borderId="0" xfId="5" applyNumberFormat="1" applyAlignment="1">
      <alignment horizontal="center" vertical="center"/>
    </xf>
    <xf numFmtId="170" fontId="25" fillId="0" borderId="0" xfId="5" applyNumberFormat="1" applyFont="1" applyAlignment="1">
      <alignment horizontal="center" vertical="center" wrapText="1"/>
    </xf>
    <xf numFmtId="0" fontId="25" fillId="0" borderId="0" xfId="5" applyFont="1" applyAlignment="1">
      <alignment horizontal="center" vertical="center" wrapText="1"/>
    </xf>
    <xf numFmtId="0" fontId="2" fillId="0" borderId="0" xfId="5" applyFont="1"/>
    <xf numFmtId="49" fontId="2" fillId="0" borderId="0" xfId="5" applyNumberFormat="1" applyFont="1"/>
    <xf numFmtId="0" fontId="27" fillId="0" borderId="0" xfId="5" applyFont="1"/>
    <xf numFmtId="9" fontId="27" fillId="0" borderId="0" xfId="5" applyNumberFormat="1" applyFont="1"/>
    <xf numFmtId="164" fontId="1" fillId="0" borderId="0" xfId="1" applyNumberFormat="1" applyFont="1" applyFill="1" applyBorder="1"/>
    <xf numFmtId="164" fontId="0" fillId="0" borderId="0" xfId="1" applyNumberFormat="1" applyFont="1" applyFill="1" applyBorder="1"/>
    <xf numFmtId="164" fontId="28" fillId="0" borderId="0" xfId="1" applyNumberFormat="1" applyFont="1" applyFill="1" applyBorder="1" applyAlignment="1">
      <alignment horizontal="center"/>
    </xf>
    <xf numFmtId="164" fontId="23" fillId="0" borderId="0" xfId="1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164" fontId="16" fillId="0" borderId="0" xfId="1" applyNumberFormat="1" applyFont="1" applyFill="1" applyBorder="1"/>
    <xf numFmtId="164" fontId="25" fillId="0" borderId="0" xfId="1" applyNumberFormat="1" applyFont="1" applyFill="1" applyBorder="1" applyAlignment="1">
      <alignment vertical="center" wrapText="1"/>
    </xf>
    <xf numFmtId="164" fontId="15" fillId="0" borderId="0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Fill="1" applyBorder="1"/>
    <xf numFmtId="164" fontId="16" fillId="0" borderId="0" xfId="1" applyNumberFormat="1" applyFont="1" applyBorder="1"/>
    <xf numFmtId="164" fontId="1" fillId="0" borderId="0" xfId="1" applyNumberFormat="1" applyFont="1" applyBorder="1"/>
    <xf numFmtId="164" fontId="29" fillId="0" borderId="0" xfId="1" applyNumberFormat="1" applyFont="1" applyBorder="1"/>
    <xf numFmtId="164" fontId="29" fillId="0" borderId="0" xfId="1" applyNumberFormat="1" applyFont="1" applyFill="1" applyBorder="1"/>
    <xf numFmtId="164" fontId="5" fillId="0" borderId="0" xfId="1" applyNumberFormat="1" applyFont="1" applyBorder="1"/>
    <xf numFmtId="164" fontId="5" fillId="0" borderId="0" xfId="1" applyNumberFormat="1" applyFont="1" applyFill="1" applyBorder="1"/>
    <xf numFmtId="43" fontId="5" fillId="0" borderId="0" xfId="1" applyFont="1" applyBorder="1"/>
    <xf numFmtId="164" fontId="21" fillId="0" borderId="0" xfId="1" applyNumberFormat="1" applyFont="1" applyBorder="1"/>
    <xf numFmtId="3" fontId="2" fillId="0" borderId="0" xfId="0" applyNumberFormat="1" applyFont="1"/>
    <xf numFmtId="9" fontId="10" fillId="0" borderId="0" xfId="0" applyNumberFormat="1" applyFont="1"/>
    <xf numFmtId="43" fontId="10" fillId="0" borderId="0" xfId="0" applyNumberFormat="1" applyFont="1"/>
    <xf numFmtId="3" fontId="2" fillId="0" borderId="3" xfId="0" applyNumberFormat="1" applyFont="1" applyBorder="1"/>
    <xf numFmtId="3" fontId="2" fillId="0" borderId="5" xfId="0" applyNumberFormat="1" applyFont="1" applyBorder="1"/>
    <xf numFmtId="3" fontId="11" fillId="0" borderId="5" xfId="0" applyNumberFormat="1" applyFont="1" applyBorder="1"/>
    <xf numFmtId="3" fontId="11" fillId="0" borderId="8" xfId="0" applyNumberFormat="1" applyFont="1" applyBorder="1"/>
    <xf numFmtId="49" fontId="15" fillId="0" borderId="0" xfId="5" applyNumberFormat="1" applyFont="1" applyAlignment="1">
      <alignment horizontal="center"/>
    </xf>
    <xf numFmtId="0" fontId="28" fillId="0" borderId="0" xfId="5" applyFont="1" applyAlignment="1">
      <alignment horizontal="center"/>
    </xf>
    <xf numFmtId="170" fontId="23" fillId="0" borderId="0" xfId="5" applyNumberFormat="1" applyFont="1" applyAlignment="1">
      <alignment horizontal="center"/>
    </xf>
    <xf numFmtId="170" fontId="24" fillId="0" borderId="0" xfId="5" applyNumberFormat="1" applyFont="1" applyAlignment="1">
      <alignment horizontal="center"/>
    </xf>
    <xf numFmtId="170" fontId="15" fillId="0" borderId="0" xfId="5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0">
    <cellStyle name="Comma" xfId="1" builtinId="3"/>
    <cellStyle name="Currency" xfId="4" builtinId="4"/>
    <cellStyle name="Currency 2" xfId="8" xr:uid="{00000000-0005-0000-0000-000002000000}"/>
    <cellStyle name="Currency 3" xfId="6" xr:uid="{00000000-0005-0000-0000-000003000000}"/>
    <cellStyle name="Normal" xfId="0" builtinId="0"/>
    <cellStyle name="Normal 2" xfId="7" xr:uid="{00000000-0005-0000-0000-000005000000}"/>
    <cellStyle name="Normal 3" xfId="5" xr:uid="{00000000-0005-0000-0000-000006000000}"/>
    <cellStyle name="Normal_Cost Cert Addendum 2009" xfId="3" xr:uid="{00000000-0005-0000-0000-000007000000}"/>
    <cellStyle name="Percent" xfId="2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randt%20Meadows%20-%20development%20proforma%20with%20GDPM%20added%2012%2013%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S AND USES"/>
      <sheetName val="FUNDING MATRIX"/>
      <sheetName val="COST DETAIL"/>
      <sheetName val="OPERATING PROFORMA"/>
      <sheetName val="15-YR PROJECTION"/>
      <sheetName val="LEASE UP OPERATING EXPENSES"/>
      <sheetName val="UNDERWRITING"/>
      <sheetName val="Compatibility Report"/>
    </sheetNames>
    <sheetDataSet>
      <sheetData sheetId="0">
        <row r="7">
          <cell r="D7" t="str">
            <v>OBERER</v>
          </cell>
        </row>
        <row r="18">
          <cell r="D18">
            <v>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6"/>
  <sheetViews>
    <sheetView tabSelected="1" zoomScaleNormal="100" workbookViewId="0">
      <pane xSplit="4" ySplit="8" topLeftCell="E45" activePane="bottomRight" state="frozen"/>
      <selection pane="topRight" activeCell="E1" sqref="E1"/>
      <selection pane="bottomLeft" activeCell="A7" sqref="A7"/>
      <selection pane="bottomRight" activeCell="F49" sqref="F49"/>
    </sheetView>
  </sheetViews>
  <sheetFormatPr defaultColWidth="9.140625" defaultRowHeight="12.75" x14ac:dyDescent="0.2"/>
  <cols>
    <col min="1" max="1" width="4.85546875" style="16" customWidth="1"/>
    <col min="2" max="2" width="39.28515625" style="16" customWidth="1"/>
    <col min="3" max="3" width="35.7109375" style="16" hidden="1" customWidth="1"/>
    <col min="4" max="4" width="10" style="16" customWidth="1"/>
    <col min="5" max="5" width="11.5703125" style="16" customWidth="1"/>
    <col min="6" max="6" width="20.7109375" style="16" customWidth="1"/>
    <col min="7" max="7" width="16.5703125" style="16" customWidth="1"/>
    <col min="8" max="8" width="19.28515625" style="16" hidden="1" customWidth="1"/>
    <col min="9" max="9" width="27" style="16" customWidth="1"/>
    <col min="10" max="10" width="14.140625" style="16" customWidth="1"/>
    <col min="11" max="11" width="5.42578125" style="16" customWidth="1"/>
    <col min="12" max="12" width="22.140625" style="16" customWidth="1"/>
    <col min="13" max="13" width="36.28515625" style="16" customWidth="1"/>
    <col min="14" max="14" width="13.7109375" style="16" customWidth="1"/>
    <col min="15" max="16384" width="9.140625" style="16"/>
  </cols>
  <sheetData>
    <row r="1" spans="1:14" x14ac:dyDescent="0.2">
      <c r="B1" s="1" t="s">
        <v>639</v>
      </c>
    </row>
    <row r="2" spans="1:14" x14ac:dyDescent="0.2">
      <c r="B2" s="1" t="s">
        <v>640</v>
      </c>
    </row>
    <row r="3" spans="1:14" x14ac:dyDescent="0.2">
      <c r="B3" s="33" t="s">
        <v>660</v>
      </c>
    </row>
    <row r="4" spans="1:14" x14ac:dyDescent="0.2">
      <c r="D4" s="17"/>
      <c r="E4" s="17"/>
      <c r="F4" s="18"/>
      <c r="G4" s="18"/>
      <c r="H4" s="17"/>
      <c r="I4" s="17"/>
      <c r="J4" s="17"/>
      <c r="K4" s="17"/>
      <c r="M4" s="17"/>
    </row>
    <row r="5" spans="1:14" x14ac:dyDescent="0.2">
      <c r="B5" s="63" t="s">
        <v>641</v>
      </c>
      <c r="D5" s="17">
        <v>25</v>
      </c>
      <c r="E5" s="17"/>
      <c r="F5" s="18"/>
      <c r="G5" s="18"/>
      <c r="H5" s="17"/>
      <c r="I5" s="17"/>
      <c r="J5" s="17"/>
      <c r="K5" s="17"/>
      <c r="L5" s="65"/>
      <c r="M5" s="17"/>
    </row>
    <row r="6" spans="1:14" x14ac:dyDescent="0.2">
      <c r="D6" s="17"/>
      <c r="E6" s="17"/>
      <c r="F6" s="18"/>
      <c r="G6" s="18"/>
      <c r="H6" s="17"/>
      <c r="I6" s="17"/>
      <c r="J6" s="17"/>
      <c r="K6" s="17"/>
      <c r="L6" s="65" t="s">
        <v>204</v>
      </c>
      <c r="M6" s="17"/>
    </row>
    <row r="7" spans="1:14" x14ac:dyDescent="0.2">
      <c r="F7" s="65" t="s">
        <v>127</v>
      </c>
      <c r="G7" s="17"/>
      <c r="H7" s="17" t="s">
        <v>107</v>
      </c>
      <c r="I7" s="17"/>
      <c r="J7" s="17"/>
      <c r="K7" s="17"/>
      <c r="L7" s="65" t="s">
        <v>535</v>
      </c>
      <c r="M7" s="17"/>
    </row>
    <row r="8" spans="1:14" x14ac:dyDescent="0.2">
      <c r="A8" s="16" t="s">
        <v>168</v>
      </c>
      <c r="F8" s="17"/>
      <c r="G8" s="17"/>
      <c r="H8" s="17"/>
      <c r="I8" s="17"/>
      <c r="J8" s="17"/>
      <c r="K8" s="17"/>
      <c r="L8" s="17"/>
      <c r="M8" s="17"/>
    </row>
    <row r="9" spans="1:14" x14ac:dyDescent="0.2">
      <c r="B9" s="16" t="s">
        <v>106</v>
      </c>
      <c r="D9" s="19"/>
      <c r="E9" s="20"/>
      <c r="F9" s="42">
        <v>300000</v>
      </c>
      <c r="G9" s="36"/>
      <c r="H9" s="20" t="e">
        <f>+'COST DETAIL'!#REF!</f>
        <v>#REF!</v>
      </c>
      <c r="I9" s="13" t="s">
        <v>648</v>
      </c>
      <c r="J9" s="20"/>
      <c r="K9" s="20"/>
      <c r="L9" s="20"/>
      <c r="N9" s="20"/>
    </row>
    <row r="10" spans="1:14" x14ac:dyDescent="0.2">
      <c r="D10" s="19"/>
      <c r="E10" s="20"/>
      <c r="F10" s="36"/>
      <c r="G10" s="36"/>
      <c r="H10" s="20"/>
      <c r="I10" s="20"/>
      <c r="J10" s="20"/>
      <c r="K10" s="20"/>
      <c r="L10" s="20"/>
      <c r="N10" s="20"/>
    </row>
    <row r="11" spans="1:14" x14ac:dyDescent="0.2">
      <c r="A11" s="16" t="s">
        <v>169</v>
      </c>
      <c r="D11" s="19"/>
      <c r="E11" s="20"/>
      <c r="F11" s="36"/>
      <c r="G11" s="36"/>
      <c r="H11" s="20"/>
      <c r="I11" s="20"/>
      <c r="J11" s="20"/>
      <c r="K11" s="20"/>
      <c r="L11" s="20"/>
      <c r="N11" s="20"/>
    </row>
    <row r="12" spans="1:14" x14ac:dyDescent="0.2">
      <c r="B12" s="16" t="s">
        <v>6</v>
      </c>
      <c r="D12" s="19"/>
      <c r="E12" s="20"/>
      <c r="F12" s="36">
        <f>+'COST DETAIL'!D36</f>
        <v>9000</v>
      </c>
      <c r="G12" s="36"/>
      <c r="H12" s="20"/>
      <c r="I12" s="20"/>
      <c r="J12" s="20"/>
      <c r="K12" s="20"/>
      <c r="L12" s="26">
        <f>+F12</f>
        <v>9000</v>
      </c>
      <c r="N12" s="20"/>
    </row>
    <row r="13" spans="1:14" x14ac:dyDescent="0.2">
      <c r="B13" s="16" t="s">
        <v>135</v>
      </c>
      <c r="D13" s="19"/>
      <c r="E13" s="20"/>
      <c r="F13" s="36">
        <f>+'COST DETAIL'!D24</f>
        <v>15000</v>
      </c>
      <c r="G13" s="36"/>
      <c r="H13" s="20"/>
      <c r="I13" s="20"/>
      <c r="J13" s="20"/>
      <c r="K13" s="20"/>
      <c r="L13" s="26">
        <f t="shared" ref="L13:L64" si="0">+F13</f>
        <v>15000</v>
      </c>
      <c r="N13" s="20"/>
    </row>
    <row r="14" spans="1:14" x14ac:dyDescent="0.2">
      <c r="B14" s="16" t="s">
        <v>5</v>
      </c>
      <c r="D14" s="19"/>
      <c r="E14" s="20"/>
      <c r="F14" s="36">
        <f>+'COST DETAIL'!D26</f>
        <v>15000</v>
      </c>
      <c r="G14" s="36"/>
      <c r="H14" s="20"/>
      <c r="I14" s="20"/>
      <c r="J14" s="20"/>
      <c r="K14" s="20"/>
      <c r="L14" s="26">
        <f t="shared" si="0"/>
        <v>15000</v>
      </c>
      <c r="N14" s="20"/>
    </row>
    <row r="15" spans="1:14" x14ac:dyDescent="0.2">
      <c r="B15" s="16" t="s">
        <v>7</v>
      </c>
      <c r="D15" s="19"/>
      <c r="E15" s="20"/>
      <c r="F15" s="36">
        <f>+'COST DETAIL'!D51</f>
        <v>78825</v>
      </c>
      <c r="G15" s="36"/>
      <c r="H15" s="20"/>
      <c r="I15" s="20"/>
      <c r="J15" s="20"/>
      <c r="K15" s="20"/>
      <c r="L15" s="26">
        <f t="shared" si="0"/>
        <v>78825</v>
      </c>
      <c r="N15" s="20"/>
    </row>
    <row r="16" spans="1:14" x14ac:dyDescent="0.2">
      <c r="B16" s="63" t="s">
        <v>612</v>
      </c>
      <c r="D16" s="19"/>
      <c r="E16" s="20"/>
      <c r="F16" s="36">
        <v>4750</v>
      </c>
      <c r="G16" s="36"/>
      <c r="H16" s="20"/>
      <c r="I16" s="20"/>
      <c r="J16" s="20"/>
      <c r="K16" s="20"/>
      <c r="L16" s="26">
        <f t="shared" si="0"/>
        <v>4750</v>
      </c>
      <c r="N16" s="20"/>
    </row>
    <row r="17" spans="1:14" x14ac:dyDescent="0.2">
      <c r="B17" s="16" t="s">
        <v>14</v>
      </c>
      <c r="D17" s="19"/>
      <c r="E17" s="20"/>
      <c r="F17" s="36"/>
      <c r="G17" s="36"/>
      <c r="H17" s="20"/>
      <c r="I17" s="20"/>
      <c r="J17" s="20"/>
      <c r="K17" s="20"/>
      <c r="L17" s="26">
        <f t="shared" si="0"/>
        <v>0</v>
      </c>
      <c r="N17" s="20"/>
    </row>
    <row r="18" spans="1:14" x14ac:dyDescent="0.2">
      <c r="B18" s="16" t="s">
        <v>15</v>
      </c>
      <c r="D18" s="19"/>
      <c r="E18" s="20"/>
      <c r="F18" s="36">
        <f>+'COST DETAIL'!D62</f>
        <v>4500</v>
      </c>
      <c r="G18" s="36"/>
      <c r="H18" s="20"/>
      <c r="I18" s="20"/>
      <c r="J18" s="20"/>
      <c r="K18" s="20"/>
      <c r="L18" s="26">
        <f t="shared" si="0"/>
        <v>4500</v>
      </c>
      <c r="N18" s="20"/>
    </row>
    <row r="19" spans="1:14" ht="15" x14ac:dyDescent="0.35">
      <c r="B19" s="16" t="s">
        <v>19</v>
      </c>
      <c r="D19" s="19"/>
      <c r="E19" s="20"/>
      <c r="F19" s="40">
        <f>ROUND(+'COST DETAIL'!D79,0)</f>
        <v>24009</v>
      </c>
      <c r="G19" s="36"/>
      <c r="H19" s="20"/>
      <c r="I19" s="20"/>
      <c r="J19" s="20"/>
      <c r="K19" s="20"/>
      <c r="L19" s="26">
        <f t="shared" si="0"/>
        <v>24009</v>
      </c>
      <c r="N19" s="20"/>
    </row>
    <row r="20" spans="1:14" x14ac:dyDescent="0.2">
      <c r="D20" s="19"/>
      <c r="E20" s="20"/>
      <c r="F20" s="36">
        <f>SUM(F12:F19)</f>
        <v>151084</v>
      </c>
      <c r="G20" s="36"/>
      <c r="H20" s="20"/>
      <c r="I20" s="20"/>
      <c r="J20" s="20"/>
      <c r="K20" s="20"/>
      <c r="L20" s="26">
        <f t="shared" si="0"/>
        <v>151084</v>
      </c>
      <c r="N20" s="20"/>
    </row>
    <row r="21" spans="1:14" x14ac:dyDescent="0.2">
      <c r="A21" s="16" t="s">
        <v>170</v>
      </c>
      <c r="D21" s="19"/>
      <c r="E21" s="20"/>
      <c r="F21" s="36"/>
      <c r="G21" s="36"/>
      <c r="H21" s="20"/>
      <c r="I21" s="20"/>
      <c r="J21" s="20"/>
      <c r="K21" s="20"/>
      <c r="L21" s="26">
        <f t="shared" si="0"/>
        <v>0</v>
      </c>
      <c r="N21" s="20"/>
    </row>
    <row r="22" spans="1:14" x14ac:dyDescent="0.2">
      <c r="B22" s="16" t="s">
        <v>126</v>
      </c>
      <c r="D22" s="19"/>
      <c r="E22" s="20"/>
      <c r="F22" s="36">
        <f>+'COST DETAIL'!D12</f>
        <v>859375</v>
      </c>
      <c r="G22" s="36"/>
      <c r="H22" s="20"/>
      <c r="I22" s="20"/>
      <c r="J22" s="20"/>
      <c r="K22" s="20"/>
      <c r="L22" s="26"/>
      <c r="N22" s="20"/>
    </row>
    <row r="23" spans="1:14" x14ac:dyDescent="0.2">
      <c r="D23" s="19"/>
      <c r="E23" s="20"/>
      <c r="F23" s="36"/>
      <c r="G23" s="36"/>
      <c r="H23" s="20"/>
      <c r="I23" s="20"/>
      <c r="J23" s="20"/>
      <c r="K23" s="20"/>
      <c r="L23" s="26">
        <f t="shared" si="0"/>
        <v>0</v>
      </c>
      <c r="N23" s="20"/>
    </row>
    <row r="24" spans="1:14" x14ac:dyDescent="0.2">
      <c r="A24" s="16" t="s">
        <v>171</v>
      </c>
      <c r="D24" s="19"/>
      <c r="E24" s="20"/>
      <c r="F24" s="36"/>
      <c r="G24" s="36"/>
      <c r="H24" s="20"/>
      <c r="I24" s="20"/>
      <c r="J24" s="20"/>
      <c r="K24" s="20"/>
      <c r="L24" s="26">
        <f t="shared" si="0"/>
        <v>0</v>
      </c>
      <c r="N24" s="20"/>
    </row>
    <row r="25" spans="1:14" x14ac:dyDescent="0.2">
      <c r="B25" s="16" t="s">
        <v>2</v>
      </c>
      <c r="D25" s="19"/>
      <c r="E25" s="113"/>
      <c r="F25" s="36">
        <f ca="1">ROUND(+'COST DETAIL'!D13,0)</f>
        <v>183424</v>
      </c>
      <c r="G25" s="36"/>
      <c r="H25" s="20"/>
      <c r="I25" s="20"/>
      <c r="J25" s="20"/>
      <c r="K25" s="20"/>
      <c r="L25" s="26"/>
      <c r="N25" s="20"/>
    </row>
    <row r="26" spans="1:14" x14ac:dyDescent="0.2">
      <c r="B26" s="63" t="s">
        <v>613</v>
      </c>
      <c r="D26" s="19"/>
      <c r="E26" s="36">
        <v>5500</v>
      </c>
      <c r="F26" s="36">
        <f>+E26*D5</f>
        <v>137500</v>
      </c>
      <c r="G26" s="36"/>
      <c r="H26" s="20"/>
      <c r="I26" s="20"/>
      <c r="J26" s="20"/>
      <c r="K26" s="20"/>
      <c r="L26" s="26"/>
      <c r="N26" s="20"/>
    </row>
    <row r="27" spans="1:14" x14ac:dyDescent="0.2">
      <c r="B27" s="16" t="s">
        <v>98</v>
      </c>
      <c r="D27" s="19"/>
      <c r="E27" s="20"/>
      <c r="F27" s="36">
        <v>0</v>
      </c>
      <c r="G27" s="36"/>
      <c r="H27" s="20"/>
      <c r="I27" s="20"/>
      <c r="J27" s="20"/>
      <c r="K27" s="20"/>
      <c r="L27" s="26"/>
      <c r="N27" s="20"/>
    </row>
    <row r="28" spans="1:14" x14ac:dyDescent="0.2">
      <c r="B28" s="16" t="s">
        <v>11</v>
      </c>
      <c r="D28" s="19"/>
      <c r="E28" s="20"/>
      <c r="F28" s="36">
        <f>ROUND(+E137*0.02,0)</f>
        <v>0</v>
      </c>
      <c r="G28" s="36"/>
      <c r="H28" s="20"/>
      <c r="I28" s="20"/>
      <c r="J28" s="20"/>
      <c r="K28" s="20"/>
      <c r="L28" s="26"/>
      <c r="N28" s="20"/>
    </row>
    <row r="29" spans="1:14" x14ac:dyDescent="0.2">
      <c r="B29" s="16" t="s">
        <v>0</v>
      </c>
      <c r="D29" s="19"/>
      <c r="E29" s="20"/>
      <c r="F29" s="36">
        <f>+'COST DETAIL'!D8+'COST DETAIL'!D11</f>
        <v>2676782.5</v>
      </c>
      <c r="G29" s="36"/>
      <c r="H29" s="20"/>
      <c r="I29" s="20"/>
      <c r="J29" s="20"/>
      <c r="K29" s="20"/>
      <c r="L29" s="26"/>
      <c r="N29" s="20"/>
    </row>
    <row r="30" spans="1:14" x14ac:dyDescent="0.2">
      <c r="B30" s="63" t="s">
        <v>622</v>
      </c>
      <c r="D30" s="19"/>
      <c r="E30" s="20">
        <v>3500</v>
      </c>
      <c r="F30" s="36">
        <f>+E30*D5</f>
        <v>87500</v>
      </c>
      <c r="G30" s="36"/>
      <c r="H30" s="20"/>
      <c r="I30" s="20"/>
      <c r="J30" s="20"/>
      <c r="K30" s="20"/>
      <c r="L30" s="26"/>
      <c r="N30" s="20"/>
    </row>
    <row r="31" spans="1:14" x14ac:dyDescent="0.2">
      <c r="B31" s="16" t="s">
        <v>1</v>
      </c>
      <c r="D31" s="19"/>
      <c r="E31" s="113">
        <v>0.05</v>
      </c>
      <c r="F31" s="42">
        <f>ROUND(+(F29+F22)*E31*1.14,0)</f>
        <v>201561</v>
      </c>
      <c r="G31" s="42"/>
      <c r="H31" s="42"/>
      <c r="I31" s="20"/>
      <c r="J31" s="20"/>
      <c r="K31" s="20"/>
      <c r="L31" s="26"/>
      <c r="N31" s="20"/>
    </row>
    <row r="32" spans="1:14" x14ac:dyDescent="0.2">
      <c r="B32" s="16" t="s">
        <v>3</v>
      </c>
      <c r="D32" s="19"/>
      <c r="E32" s="113"/>
      <c r="F32" s="36">
        <f ca="1">ROUND(+'COST DETAIL'!D14,0)</f>
        <v>68784</v>
      </c>
      <c r="G32" s="36"/>
      <c r="H32" s="20"/>
      <c r="I32" s="20"/>
      <c r="J32" s="20"/>
      <c r="K32" s="20"/>
      <c r="L32" s="26"/>
      <c r="N32" s="20"/>
    </row>
    <row r="33" spans="1:14" x14ac:dyDescent="0.2">
      <c r="B33" s="16" t="s">
        <v>4</v>
      </c>
      <c r="D33" s="19"/>
      <c r="E33" s="113"/>
      <c r="F33" s="36">
        <f ca="1">ROUND(+'COST DETAIL'!D15,0)</f>
        <v>229280</v>
      </c>
      <c r="G33" s="36"/>
      <c r="H33" s="20"/>
      <c r="I33" s="20"/>
      <c r="J33" s="20"/>
      <c r="K33" s="20"/>
      <c r="L33" s="26"/>
      <c r="N33" s="20"/>
    </row>
    <row r="34" spans="1:14" x14ac:dyDescent="0.2">
      <c r="D34" s="19"/>
      <c r="E34" s="20"/>
      <c r="F34" s="36">
        <f ca="1">SUM(F25:F33)</f>
        <v>3584831.5</v>
      </c>
      <c r="G34" s="36"/>
      <c r="H34" s="20"/>
      <c r="I34" s="20"/>
      <c r="J34" s="20"/>
      <c r="K34" s="20"/>
      <c r="L34" s="26"/>
      <c r="N34" s="20"/>
    </row>
    <row r="35" spans="1:14" x14ac:dyDescent="0.2">
      <c r="D35" s="19"/>
      <c r="E35" s="20"/>
      <c r="F35" s="36"/>
      <c r="G35" s="36"/>
      <c r="H35" s="20"/>
      <c r="I35" s="20"/>
      <c r="J35" s="20"/>
      <c r="K35" s="20"/>
      <c r="L35" s="26">
        <f t="shared" si="0"/>
        <v>0</v>
      </c>
      <c r="N35" s="20"/>
    </row>
    <row r="36" spans="1:14" x14ac:dyDescent="0.2">
      <c r="A36" s="16" t="s">
        <v>172</v>
      </c>
      <c r="D36" s="19"/>
      <c r="E36" s="20"/>
      <c r="F36" s="36"/>
      <c r="G36" s="36"/>
      <c r="H36" s="20"/>
      <c r="I36" s="20"/>
      <c r="J36" s="20"/>
      <c r="K36" s="20"/>
      <c r="L36" s="26">
        <f t="shared" si="0"/>
        <v>0</v>
      </c>
      <c r="N36" s="20"/>
    </row>
    <row r="37" spans="1:14" x14ac:dyDescent="0.2">
      <c r="B37" s="16" t="s">
        <v>8</v>
      </c>
      <c r="D37" s="19"/>
      <c r="E37" s="36"/>
      <c r="F37" s="42">
        <v>25000</v>
      </c>
      <c r="G37" s="42"/>
      <c r="H37" s="42"/>
      <c r="I37" s="20"/>
      <c r="J37" s="20"/>
      <c r="K37" s="20"/>
      <c r="L37" s="26">
        <f t="shared" si="0"/>
        <v>25000</v>
      </c>
      <c r="N37" s="20"/>
    </row>
    <row r="38" spans="1:14" x14ac:dyDescent="0.2">
      <c r="B38" s="16" t="s">
        <v>9</v>
      </c>
      <c r="D38" s="19"/>
      <c r="E38" s="36"/>
      <c r="F38" s="42">
        <f ca="1">+F67*0.065*0.75</f>
        <v>296956.28087649401</v>
      </c>
      <c r="G38" s="36"/>
      <c r="H38" s="42"/>
      <c r="I38" s="20"/>
      <c r="J38" s="20"/>
      <c r="K38" s="20"/>
      <c r="L38" s="26">
        <f t="shared" ca="1" si="0"/>
        <v>296956.28087649401</v>
      </c>
      <c r="N38" s="20"/>
    </row>
    <row r="39" spans="1:14" x14ac:dyDescent="0.2">
      <c r="B39" s="16" t="s">
        <v>90</v>
      </c>
      <c r="D39" s="19"/>
      <c r="E39" s="20"/>
      <c r="F39" s="36">
        <v>0</v>
      </c>
      <c r="G39" s="36"/>
      <c r="H39" s="20"/>
      <c r="I39" s="20"/>
      <c r="J39" s="20"/>
      <c r="K39" s="20"/>
      <c r="L39" s="26">
        <f t="shared" si="0"/>
        <v>0</v>
      </c>
      <c r="N39" s="20"/>
    </row>
    <row r="40" spans="1:14" x14ac:dyDescent="0.2">
      <c r="B40" s="16" t="s">
        <v>10</v>
      </c>
      <c r="D40" s="19"/>
      <c r="E40" s="30">
        <v>0.01</v>
      </c>
      <c r="F40" s="36">
        <f ca="1">+F67*E40</f>
        <v>60914.108897742357</v>
      </c>
      <c r="G40" s="36"/>
      <c r="H40" s="20"/>
      <c r="I40" s="20"/>
      <c r="J40" s="20"/>
      <c r="K40" s="20"/>
      <c r="L40" s="26">
        <f t="shared" ca="1" si="0"/>
        <v>60914.108897742357</v>
      </c>
      <c r="N40" s="20"/>
    </row>
    <row r="41" spans="1:14" x14ac:dyDescent="0.2">
      <c r="B41" s="63" t="s">
        <v>270</v>
      </c>
      <c r="D41" s="19"/>
      <c r="E41" s="20"/>
      <c r="F41" s="36">
        <f>ROUND(+F9*0.03*2,0)</f>
        <v>18000</v>
      </c>
      <c r="G41" s="36"/>
      <c r="H41" s="20"/>
      <c r="I41" s="20"/>
      <c r="J41" s="20"/>
      <c r="K41" s="20"/>
      <c r="L41" s="26">
        <f t="shared" si="0"/>
        <v>18000</v>
      </c>
      <c r="N41" s="20"/>
    </row>
    <row r="42" spans="1:14" ht="15" x14ac:dyDescent="0.35">
      <c r="B42" s="16" t="s">
        <v>141</v>
      </c>
      <c r="D42" s="21"/>
      <c r="E42" s="23"/>
      <c r="F42" s="40"/>
      <c r="G42" s="36"/>
      <c r="H42" s="20"/>
      <c r="I42" s="20"/>
      <c r="J42" s="20"/>
      <c r="K42" s="20"/>
      <c r="L42" s="26">
        <f t="shared" si="0"/>
        <v>0</v>
      </c>
      <c r="N42" s="20"/>
    </row>
    <row r="43" spans="1:14" x14ac:dyDescent="0.2">
      <c r="D43" s="21"/>
      <c r="E43" s="23"/>
      <c r="F43" s="36">
        <f ca="1">SUM(F37:F42)</f>
        <v>400870.38977423636</v>
      </c>
      <c r="G43" s="36"/>
      <c r="H43" s="20"/>
      <c r="I43" s="20"/>
      <c r="J43" s="20"/>
      <c r="K43" s="20"/>
      <c r="L43" s="26"/>
      <c r="N43" s="20"/>
    </row>
    <row r="44" spans="1:14" x14ac:dyDescent="0.2">
      <c r="A44" s="16" t="s">
        <v>173</v>
      </c>
      <c r="D44" s="21"/>
      <c r="E44" s="23"/>
      <c r="F44" s="36"/>
      <c r="G44" s="36"/>
      <c r="H44" s="20"/>
      <c r="I44" s="20"/>
      <c r="J44" s="20"/>
      <c r="K44" s="20"/>
      <c r="L44" s="26">
        <f t="shared" si="0"/>
        <v>0</v>
      </c>
      <c r="N44" s="20"/>
    </row>
    <row r="45" spans="1:14" x14ac:dyDescent="0.2">
      <c r="B45" s="16" t="s">
        <v>20</v>
      </c>
      <c r="D45" s="19"/>
      <c r="E45" s="20"/>
      <c r="F45" s="36">
        <f>+'COST DETAIL'!D91</f>
        <v>80000</v>
      </c>
      <c r="G45" s="36"/>
      <c r="H45" s="20"/>
      <c r="I45" s="20"/>
      <c r="J45" s="20"/>
      <c r="K45" s="20"/>
      <c r="L45" s="26">
        <f t="shared" si="0"/>
        <v>80000</v>
      </c>
      <c r="N45" s="20"/>
    </row>
    <row r="46" spans="1:14" x14ac:dyDescent="0.2">
      <c r="B46" s="16" t="s">
        <v>134</v>
      </c>
      <c r="D46" s="19"/>
      <c r="E46" s="20"/>
      <c r="F46" s="36">
        <f>+'COST DETAIL'!D99</f>
        <v>15250</v>
      </c>
      <c r="G46" s="36"/>
      <c r="H46" s="20"/>
      <c r="I46" s="20"/>
      <c r="J46" s="20"/>
      <c r="K46" s="20"/>
      <c r="L46" s="26">
        <f t="shared" si="0"/>
        <v>15250</v>
      </c>
      <c r="N46" s="20"/>
    </row>
    <row r="47" spans="1:14" x14ac:dyDescent="0.2">
      <c r="B47" s="63" t="s">
        <v>655</v>
      </c>
      <c r="D47" s="21"/>
      <c r="E47" s="22">
        <v>10000</v>
      </c>
      <c r="F47" s="38">
        <f>+E47*D5</f>
        <v>250000</v>
      </c>
      <c r="G47" s="38"/>
      <c r="H47" s="20"/>
      <c r="I47" s="20"/>
      <c r="J47" s="20"/>
      <c r="K47" s="20"/>
      <c r="L47" s="26">
        <f t="shared" si="0"/>
        <v>250000</v>
      </c>
      <c r="N47" s="20"/>
    </row>
    <row r="48" spans="1:14" x14ac:dyDescent="0.2">
      <c r="B48" s="63" t="s">
        <v>661</v>
      </c>
      <c r="D48" s="21"/>
      <c r="E48" s="22"/>
      <c r="F48" s="38">
        <v>200000</v>
      </c>
      <c r="G48" s="38"/>
      <c r="H48" s="20"/>
      <c r="I48" s="20"/>
      <c r="J48" s="20"/>
      <c r="K48" s="20"/>
      <c r="L48" s="26"/>
      <c r="N48" s="20"/>
    </row>
    <row r="49" spans="1:14" x14ac:dyDescent="0.2">
      <c r="B49" s="16" t="s">
        <v>58</v>
      </c>
      <c r="D49" s="21"/>
      <c r="E49" s="22"/>
      <c r="F49" s="38"/>
      <c r="G49" s="38"/>
      <c r="H49" s="20"/>
      <c r="I49" s="20"/>
      <c r="J49" s="20"/>
      <c r="K49" s="20"/>
      <c r="L49" s="26">
        <f t="shared" si="0"/>
        <v>0</v>
      </c>
      <c r="N49" s="20"/>
    </row>
    <row r="50" spans="1:14" ht="15" x14ac:dyDescent="0.35">
      <c r="B50" s="16" t="s">
        <v>60</v>
      </c>
      <c r="D50" s="21"/>
      <c r="E50" s="23"/>
      <c r="F50" s="40"/>
      <c r="G50" s="36"/>
      <c r="H50" s="20"/>
      <c r="I50" s="20"/>
      <c r="J50" s="20"/>
      <c r="K50" s="20"/>
      <c r="L50" s="26">
        <f t="shared" si="0"/>
        <v>0</v>
      </c>
      <c r="N50" s="20"/>
    </row>
    <row r="51" spans="1:14" x14ac:dyDescent="0.2">
      <c r="D51" s="21"/>
      <c r="E51" s="23"/>
      <c r="F51" s="36">
        <f>SUM(F45:F50)</f>
        <v>545250</v>
      </c>
      <c r="G51" s="36"/>
      <c r="H51" s="20"/>
      <c r="I51" s="20"/>
      <c r="J51" s="20"/>
      <c r="K51" s="20"/>
      <c r="L51" s="26"/>
      <c r="N51" s="20"/>
    </row>
    <row r="52" spans="1:14" hidden="1" x14ac:dyDescent="0.2">
      <c r="A52" s="16" t="s">
        <v>174</v>
      </c>
      <c r="D52" s="21"/>
      <c r="E52" s="23"/>
      <c r="F52" s="36"/>
      <c r="G52" s="36"/>
      <c r="H52" s="20"/>
      <c r="I52" s="20"/>
      <c r="J52" s="20"/>
      <c r="K52" s="20"/>
      <c r="L52" s="26">
        <f t="shared" si="0"/>
        <v>0</v>
      </c>
      <c r="N52" s="20"/>
    </row>
    <row r="53" spans="1:14" hidden="1" x14ac:dyDescent="0.2">
      <c r="B53" s="16" t="s">
        <v>16</v>
      </c>
      <c r="D53" s="19"/>
      <c r="E53" s="20"/>
      <c r="F53" s="36"/>
      <c r="G53" s="36"/>
      <c r="H53" s="20"/>
      <c r="I53" s="20"/>
      <c r="J53" s="20"/>
      <c r="K53" s="20"/>
      <c r="L53" s="26">
        <f t="shared" si="0"/>
        <v>0</v>
      </c>
      <c r="N53" s="22"/>
    </row>
    <row r="54" spans="1:14" hidden="1" x14ac:dyDescent="0.2">
      <c r="B54" s="16" t="s">
        <v>17</v>
      </c>
      <c r="D54" s="19"/>
      <c r="E54" s="29"/>
      <c r="F54" s="36"/>
      <c r="G54" s="36"/>
      <c r="H54" s="20"/>
      <c r="I54" s="20"/>
      <c r="J54" s="20"/>
      <c r="K54" s="20"/>
      <c r="L54" s="26">
        <f t="shared" si="0"/>
        <v>0</v>
      </c>
      <c r="N54" s="22"/>
    </row>
    <row r="55" spans="1:14" hidden="1" x14ac:dyDescent="0.2">
      <c r="B55" s="16" t="s">
        <v>18</v>
      </c>
      <c r="D55" s="19"/>
      <c r="E55" s="20"/>
      <c r="F55" s="36"/>
      <c r="G55" s="36"/>
      <c r="H55" s="20"/>
      <c r="I55" s="20"/>
      <c r="J55" s="20"/>
      <c r="K55" s="20"/>
      <c r="L55" s="26"/>
      <c r="N55" s="22"/>
    </row>
    <row r="56" spans="1:14" hidden="1" x14ac:dyDescent="0.2">
      <c r="B56" s="16" t="s">
        <v>94</v>
      </c>
      <c r="F56" s="36"/>
      <c r="G56" s="36"/>
      <c r="H56" s="20"/>
      <c r="I56" s="20"/>
      <c r="J56" s="20"/>
      <c r="K56" s="20"/>
      <c r="L56" s="26">
        <f t="shared" si="0"/>
        <v>0</v>
      </c>
      <c r="N56" s="20"/>
    </row>
    <row r="57" spans="1:14" hidden="1" x14ac:dyDescent="0.2">
      <c r="B57" s="63" t="s">
        <v>276</v>
      </c>
      <c r="F57" s="36"/>
      <c r="G57" s="36"/>
      <c r="H57" s="20"/>
      <c r="I57" s="20"/>
      <c r="J57" s="20"/>
      <c r="K57" s="20"/>
      <c r="L57" s="26">
        <f t="shared" si="0"/>
        <v>0</v>
      </c>
      <c r="N57" s="20"/>
    </row>
    <row r="58" spans="1:14" ht="15" hidden="1" x14ac:dyDescent="0.35">
      <c r="B58" s="16" t="s">
        <v>133</v>
      </c>
      <c r="D58" s="19"/>
      <c r="E58" s="36"/>
      <c r="F58" s="40">
        <f>+'COST DETAIL'!D105</f>
        <v>0</v>
      </c>
      <c r="G58" s="36"/>
      <c r="H58" s="36"/>
      <c r="I58" s="36"/>
      <c r="J58" s="36"/>
      <c r="K58" s="36"/>
      <c r="L58" s="26">
        <f t="shared" si="0"/>
        <v>0</v>
      </c>
      <c r="N58" s="36"/>
    </row>
    <row r="59" spans="1:14" hidden="1" x14ac:dyDescent="0.2">
      <c r="B59" s="34"/>
      <c r="D59" s="19"/>
      <c r="E59" s="20"/>
      <c r="F59" s="36">
        <f>SUM(F53:F58)</f>
        <v>0</v>
      </c>
      <c r="G59" s="36"/>
      <c r="H59" s="20"/>
      <c r="I59" s="20"/>
      <c r="J59" s="20"/>
      <c r="K59" s="20"/>
      <c r="L59" s="26"/>
      <c r="N59" s="20"/>
    </row>
    <row r="60" spans="1:14" x14ac:dyDescent="0.2">
      <c r="A60" s="16" t="s">
        <v>175</v>
      </c>
      <c r="F60" s="36"/>
      <c r="G60" s="36"/>
      <c r="H60" s="20"/>
      <c r="I60" s="20"/>
      <c r="J60" s="20"/>
      <c r="K60" s="20"/>
      <c r="L60" s="26">
        <f t="shared" si="0"/>
        <v>0</v>
      </c>
      <c r="N60" s="20"/>
    </row>
    <row r="61" spans="1:14" x14ac:dyDescent="0.2">
      <c r="B61" s="63" t="s">
        <v>554</v>
      </c>
      <c r="D61" s="21"/>
      <c r="E61" s="22"/>
      <c r="F61" s="38">
        <v>25000</v>
      </c>
      <c r="G61" s="38"/>
      <c r="H61" s="20"/>
      <c r="I61" s="20"/>
      <c r="J61" s="20"/>
      <c r="K61" s="20"/>
      <c r="L61" s="26">
        <f t="shared" si="0"/>
        <v>25000</v>
      </c>
      <c r="N61" s="20"/>
    </row>
    <row r="62" spans="1:14" x14ac:dyDescent="0.2">
      <c r="B62" s="16" t="s">
        <v>59</v>
      </c>
      <c r="D62" s="21"/>
      <c r="E62" s="99"/>
      <c r="F62" s="36">
        <v>200000</v>
      </c>
      <c r="G62" s="36"/>
      <c r="H62" s="20"/>
      <c r="I62" s="20"/>
      <c r="J62" s="20"/>
      <c r="K62" s="20"/>
      <c r="L62" s="26"/>
      <c r="N62" s="20"/>
    </row>
    <row r="63" spans="1:14" x14ac:dyDescent="0.2">
      <c r="B63" s="16" t="s">
        <v>137</v>
      </c>
      <c r="D63" s="21"/>
      <c r="E63" s="23"/>
      <c r="F63" s="36"/>
      <c r="G63" s="36"/>
      <c r="H63" s="20"/>
      <c r="I63" s="20"/>
      <c r="J63" s="20"/>
      <c r="K63" s="20"/>
      <c r="L63" s="26">
        <f t="shared" si="0"/>
        <v>0</v>
      </c>
      <c r="N63" s="20"/>
    </row>
    <row r="64" spans="1:14" ht="15" x14ac:dyDescent="0.35">
      <c r="B64" s="16" t="s">
        <v>93</v>
      </c>
      <c r="F64" s="40">
        <v>25000</v>
      </c>
      <c r="G64" s="36"/>
      <c r="H64" s="20"/>
      <c r="I64" s="20"/>
      <c r="J64" s="20"/>
      <c r="K64" s="20"/>
      <c r="L64" s="26">
        <f t="shared" si="0"/>
        <v>25000</v>
      </c>
      <c r="N64" s="20"/>
    </row>
    <row r="65" spans="1:14" ht="15" x14ac:dyDescent="0.35">
      <c r="F65" s="39">
        <f>SUM(F61:F64)</f>
        <v>250000</v>
      </c>
      <c r="G65" s="36"/>
      <c r="H65" s="20"/>
      <c r="I65" s="20"/>
      <c r="J65" s="20"/>
      <c r="K65" s="20"/>
      <c r="N65" s="4"/>
    </row>
    <row r="66" spans="1:14" ht="15" x14ac:dyDescent="0.35">
      <c r="F66" s="39"/>
      <c r="G66" s="36"/>
      <c r="H66" s="20"/>
      <c r="I66" s="20"/>
      <c r="J66" s="20"/>
      <c r="K66" s="20"/>
      <c r="N66" s="4"/>
    </row>
    <row r="67" spans="1:14" ht="15" x14ac:dyDescent="0.35">
      <c r="A67" s="63" t="s">
        <v>657</v>
      </c>
      <c r="B67" s="63"/>
      <c r="D67" s="24"/>
      <c r="E67" s="25"/>
      <c r="F67" s="94">
        <f ca="1">+F65+F59+F51+F43+F34+F22+F20+F9</f>
        <v>6091410.8897742368</v>
      </c>
      <c r="G67" s="36"/>
      <c r="H67" s="20" t="e">
        <f>SUM(H9:H65)</f>
        <v>#REF!</v>
      </c>
      <c r="I67" s="20"/>
      <c r="J67" s="20"/>
      <c r="K67" s="20"/>
      <c r="L67" s="26">
        <f ca="1">SUM(L12:L66)</f>
        <v>1098288.3897742364</v>
      </c>
      <c r="N67" s="37"/>
    </row>
    <row r="68" spans="1:14" ht="15" x14ac:dyDescent="0.35">
      <c r="B68" s="63"/>
      <c r="D68" s="24"/>
      <c r="E68" s="44"/>
      <c r="F68" s="131"/>
      <c r="G68" s="48"/>
      <c r="H68" s="46"/>
      <c r="I68" s="46"/>
      <c r="J68" s="46"/>
      <c r="K68" s="46"/>
      <c r="L68" s="45">
        <f ca="1">+L67/F67</f>
        <v>0.18030115020117149</v>
      </c>
      <c r="N68" s="37"/>
    </row>
    <row r="69" spans="1:14" ht="15" x14ac:dyDescent="0.35">
      <c r="A69" s="63" t="s">
        <v>658</v>
      </c>
      <c r="B69" s="63"/>
      <c r="F69" s="171">
        <f ca="1">+F67/D5</f>
        <v>243656.43559096949</v>
      </c>
      <c r="G69" s="131"/>
      <c r="H69" s="46"/>
      <c r="I69" s="46"/>
      <c r="J69" s="46"/>
      <c r="K69" s="46"/>
      <c r="L69" s="26"/>
      <c r="N69" s="37"/>
    </row>
    <row r="70" spans="1:14" ht="15" x14ac:dyDescent="0.35">
      <c r="F70" s="131"/>
      <c r="G70" s="131"/>
      <c r="H70" s="46"/>
      <c r="I70" s="46"/>
      <c r="J70" s="46"/>
      <c r="K70" s="46"/>
      <c r="L70" s="26"/>
      <c r="N70" s="37"/>
    </row>
    <row r="71" spans="1:14" ht="15" x14ac:dyDescent="0.35">
      <c r="D71" s="24"/>
      <c r="E71" s="44"/>
      <c r="F71" s="170"/>
      <c r="G71" s="172"/>
      <c r="H71" s="46"/>
      <c r="I71" s="46"/>
      <c r="J71" s="46"/>
      <c r="K71" s="46"/>
      <c r="L71" s="45"/>
      <c r="N71" s="37"/>
    </row>
    <row r="72" spans="1:14" ht="15" x14ac:dyDescent="0.35">
      <c r="B72" s="63" t="s">
        <v>652</v>
      </c>
      <c r="D72" s="24"/>
      <c r="E72" s="44"/>
      <c r="F72" s="170"/>
      <c r="G72" s="170"/>
      <c r="H72" s="46"/>
      <c r="I72" s="46"/>
      <c r="J72" s="46"/>
      <c r="K72" s="46"/>
      <c r="L72" s="26"/>
      <c r="N72" s="37"/>
    </row>
    <row r="73" spans="1:14" ht="15" x14ac:dyDescent="0.35">
      <c r="B73" s="89" t="str">
        <f>+'COST DETAIL'!A8</f>
        <v>Unibuilt - unit (396 sq. ft.)</v>
      </c>
      <c r="C73" s="43"/>
      <c r="D73" s="177">
        <f>+'COST DETAIL'!C8</f>
        <v>51883</v>
      </c>
      <c r="E73" s="44"/>
      <c r="F73" s="44"/>
      <c r="G73" s="44"/>
      <c r="H73" s="46"/>
      <c r="I73" s="173"/>
      <c r="J73" s="46"/>
      <c r="K73" s="46"/>
      <c r="L73" s="26"/>
      <c r="N73" s="37"/>
    </row>
    <row r="74" spans="1:14" x14ac:dyDescent="0.2">
      <c r="B74" s="90" t="str">
        <f>+'COST DETAIL'!A12</f>
        <v>Site Cost</v>
      </c>
      <c r="D74" s="178">
        <f>+'COST DETAIL'!C10</f>
        <v>22500</v>
      </c>
      <c r="E74" s="65"/>
      <c r="F74" s="95"/>
      <c r="G74" s="95"/>
      <c r="H74" s="46"/>
      <c r="I74" s="63"/>
      <c r="J74" s="46"/>
      <c r="K74" s="46"/>
      <c r="L74" s="26"/>
      <c r="N74" s="37"/>
    </row>
    <row r="75" spans="1:14" x14ac:dyDescent="0.2">
      <c r="B75" s="90" t="str">
        <f>+'COST DETAIL'!A10</f>
        <v>Work excluded from Uni-Built scope</v>
      </c>
      <c r="D75" s="178">
        <v>15000</v>
      </c>
      <c r="E75" s="100"/>
      <c r="F75" s="95"/>
      <c r="G75" s="95"/>
      <c r="H75" s="46"/>
      <c r="I75" s="63"/>
      <c r="J75" s="46"/>
      <c r="K75" s="46"/>
      <c r="L75" s="26"/>
      <c r="N75" s="37"/>
    </row>
    <row r="76" spans="1:14" x14ac:dyDescent="0.2">
      <c r="B76" s="90" t="s">
        <v>653</v>
      </c>
      <c r="D76" s="178">
        <f>SUM(D73:D75)*0.12</f>
        <v>10725.96</v>
      </c>
      <c r="E76" s="101"/>
      <c r="F76" s="95"/>
      <c r="G76" s="95"/>
      <c r="H76" s="46"/>
      <c r="I76" s="63"/>
      <c r="J76" s="98"/>
      <c r="K76" s="46"/>
      <c r="L76" s="26"/>
      <c r="N76" s="37"/>
    </row>
    <row r="77" spans="1:14" ht="15" x14ac:dyDescent="0.35">
      <c r="B77" s="90" t="s">
        <v>656</v>
      </c>
      <c r="D77" s="179">
        <v>7500</v>
      </c>
      <c r="E77" s="101"/>
      <c r="F77" s="95"/>
      <c r="G77" s="95"/>
      <c r="H77" s="46"/>
      <c r="I77" s="63"/>
      <c r="J77" s="98"/>
      <c r="K77" s="46"/>
      <c r="L77" s="26"/>
      <c r="N77" s="37"/>
    </row>
    <row r="78" spans="1:14" ht="15" x14ac:dyDescent="0.35">
      <c r="B78" s="92" t="s">
        <v>23</v>
      </c>
      <c r="C78" s="47"/>
      <c r="D78" s="180">
        <f>SUM(D73:D77)</f>
        <v>107608.95999999999</v>
      </c>
      <c r="E78" s="100"/>
      <c r="F78" s="95"/>
      <c r="G78" s="95"/>
      <c r="H78" s="46"/>
      <c r="I78" s="95"/>
      <c r="J78" s="46"/>
      <c r="K78" s="46"/>
      <c r="L78" s="26"/>
      <c r="N78" s="37"/>
    </row>
    <row r="79" spans="1:14" ht="15" x14ac:dyDescent="0.35">
      <c r="B79" s="63"/>
      <c r="D79" s="24"/>
      <c r="E79" s="115"/>
      <c r="F79" s="116"/>
      <c r="G79" s="116"/>
      <c r="H79" s="95"/>
      <c r="I79" s="95"/>
      <c r="J79" s="91"/>
      <c r="K79" s="46"/>
      <c r="L79" s="26"/>
      <c r="N79" s="37"/>
    </row>
    <row r="80" spans="1:14" ht="15" x14ac:dyDescent="0.35">
      <c r="D80" s="24"/>
      <c r="E80" s="102"/>
      <c r="F80" s="95"/>
      <c r="G80" s="95"/>
      <c r="H80" s="46"/>
      <c r="I80" s="95"/>
      <c r="J80" s="170"/>
      <c r="K80" s="46"/>
      <c r="L80" s="26"/>
      <c r="N80" s="37"/>
    </row>
    <row r="81" spans="2:14" ht="15" x14ac:dyDescent="0.35">
      <c r="B81" s="63"/>
      <c r="D81" s="24"/>
      <c r="E81" s="102"/>
      <c r="F81" s="95"/>
      <c r="G81" s="95"/>
      <c r="H81" s="46"/>
      <c r="I81" s="95"/>
      <c r="J81" s="170"/>
      <c r="K81" s="46"/>
      <c r="L81" s="26"/>
      <c r="N81" s="37"/>
    </row>
    <row r="82" spans="2:14" ht="15" x14ac:dyDescent="0.35">
      <c r="B82" s="63"/>
      <c r="D82" s="24"/>
      <c r="E82" s="102"/>
      <c r="F82" s="95"/>
      <c r="G82" s="95"/>
      <c r="H82" s="46"/>
      <c r="I82" s="46"/>
      <c r="J82" s="46"/>
      <c r="K82" s="46"/>
      <c r="L82" s="26"/>
      <c r="N82" s="37"/>
    </row>
    <row r="83" spans="2:14" ht="15" x14ac:dyDescent="0.35">
      <c r="D83" s="24"/>
      <c r="E83" s="103"/>
      <c r="F83" s="131"/>
      <c r="G83" s="95"/>
      <c r="H83" s="46"/>
      <c r="I83" s="46"/>
      <c r="J83" s="46"/>
      <c r="K83" s="46"/>
      <c r="L83" s="26"/>
      <c r="N83" s="37"/>
    </row>
    <row r="84" spans="2:14" ht="15" x14ac:dyDescent="0.35">
      <c r="B84" s="63"/>
      <c r="D84" s="24"/>
      <c r="E84" s="44"/>
      <c r="F84" s="44"/>
      <c r="G84" s="44"/>
      <c r="H84" s="46"/>
      <c r="I84" s="95"/>
      <c r="J84" s="46"/>
      <c r="K84" s="46"/>
      <c r="L84" s="26"/>
      <c r="N84" s="37"/>
    </row>
    <row r="85" spans="2:14" ht="15" x14ac:dyDescent="0.35">
      <c r="B85" s="63"/>
      <c r="D85" s="24"/>
      <c r="E85" s="44"/>
      <c r="F85" s="95"/>
      <c r="G85" s="44"/>
      <c r="H85" s="46"/>
      <c r="I85" s="95"/>
      <c r="J85" s="46"/>
      <c r="K85" s="46"/>
      <c r="L85" s="26"/>
      <c r="N85" s="37"/>
    </row>
    <row r="86" spans="2:14" ht="15" x14ac:dyDescent="0.35">
      <c r="B86" s="63"/>
      <c r="D86" s="24"/>
      <c r="E86" s="44"/>
      <c r="F86" s="95"/>
      <c r="G86" s="44"/>
      <c r="H86" s="46"/>
      <c r="I86" s="95"/>
      <c r="J86" s="46"/>
      <c r="K86" s="46"/>
      <c r="L86" s="26"/>
      <c r="N86" s="37"/>
    </row>
    <row r="87" spans="2:14" ht="15" x14ac:dyDescent="0.35">
      <c r="B87" s="63"/>
      <c r="D87" s="24"/>
      <c r="E87" s="44"/>
      <c r="F87" s="95"/>
      <c r="G87" s="44"/>
      <c r="H87" s="46"/>
      <c r="I87" s="95"/>
      <c r="J87" s="91"/>
      <c r="K87" s="46"/>
      <c r="L87" s="26"/>
      <c r="N87" s="37"/>
    </row>
    <row r="88" spans="2:14" ht="15" x14ac:dyDescent="0.35">
      <c r="B88" s="63"/>
      <c r="D88" s="24"/>
      <c r="E88" s="44"/>
      <c r="F88" s="95"/>
      <c r="G88" s="44"/>
      <c r="H88" s="46"/>
      <c r="I88" s="95"/>
      <c r="J88" s="170"/>
      <c r="K88" s="46"/>
      <c r="L88" s="26"/>
      <c r="N88" s="37"/>
    </row>
    <row r="89" spans="2:14" ht="15" x14ac:dyDescent="0.35">
      <c r="D89" s="24"/>
      <c r="E89" s="44"/>
      <c r="G89" s="44"/>
      <c r="H89" s="46"/>
      <c r="I89" s="95"/>
      <c r="J89" s="46"/>
      <c r="K89" s="46"/>
    </row>
    <row r="90" spans="2:14" ht="15" x14ac:dyDescent="0.35">
      <c r="B90" s="64"/>
      <c r="D90" s="24"/>
      <c r="E90" s="44"/>
      <c r="F90" s="44"/>
      <c r="G90" s="44"/>
      <c r="H90" s="46"/>
      <c r="I90" s="46"/>
      <c r="J90" s="46"/>
      <c r="K90" s="46"/>
    </row>
    <row r="91" spans="2:14" x14ac:dyDescent="0.2">
      <c r="B91" s="63"/>
      <c r="C91" s="63"/>
      <c r="D91" s="174"/>
      <c r="E91" s="95"/>
      <c r="F91" s="95"/>
      <c r="G91" s="95"/>
      <c r="H91" s="46"/>
      <c r="I91" s="46"/>
      <c r="J91" s="46"/>
      <c r="K91" s="46"/>
    </row>
    <row r="92" spans="2:14" x14ac:dyDescent="0.2">
      <c r="B92" s="63"/>
      <c r="C92" s="63"/>
      <c r="D92" s="174"/>
      <c r="E92" s="95"/>
      <c r="F92" s="95"/>
      <c r="G92" s="96"/>
      <c r="H92" s="46"/>
      <c r="I92" s="95"/>
      <c r="J92" s="46"/>
      <c r="K92" s="46"/>
    </row>
    <row r="93" spans="2:14" x14ac:dyDescent="0.2">
      <c r="B93" s="63"/>
      <c r="C93" s="63"/>
      <c r="D93" s="174"/>
      <c r="E93" s="95"/>
      <c r="F93" s="95"/>
      <c r="G93" s="95"/>
      <c r="H93" s="46"/>
      <c r="I93" s="46"/>
      <c r="J93" s="46"/>
      <c r="K93" s="46"/>
    </row>
    <row r="94" spans="2:14" ht="15" x14ac:dyDescent="0.35">
      <c r="D94" s="24"/>
      <c r="E94" s="44"/>
      <c r="F94" s="121"/>
      <c r="G94" s="50"/>
      <c r="I94" s="119"/>
      <c r="J94" s="46"/>
      <c r="K94" s="45"/>
    </row>
    <row r="95" spans="2:14" ht="15" x14ac:dyDescent="0.35">
      <c r="D95" s="24"/>
      <c r="E95" s="44"/>
      <c r="F95" s="96"/>
      <c r="I95" s="95"/>
      <c r="J95" s="46"/>
    </row>
    <row r="96" spans="2:14" ht="15" x14ac:dyDescent="0.35">
      <c r="D96" s="24"/>
      <c r="E96" s="44"/>
      <c r="F96" s="96"/>
      <c r="G96" s="45"/>
      <c r="H96" s="175"/>
      <c r="I96" s="95"/>
      <c r="J96" s="46"/>
      <c r="K96" s="45"/>
    </row>
    <row r="97" spans="2:13" ht="15" x14ac:dyDescent="0.35">
      <c r="D97" s="24"/>
      <c r="E97" s="44"/>
      <c r="F97" s="96"/>
      <c r="G97" s="45"/>
      <c r="H97" s="175"/>
      <c r="J97" s="46"/>
      <c r="K97" s="45"/>
    </row>
    <row r="98" spans="2:13" ht="15" x14ac:dyDescent="0.35">
      <c r="B98" s="63"/>
      <c r="D98" s="24"/>
      <c r="E98" s="44"/>
      <c r="F98" s="96"/>
      <c r="G98" s="45"/>
      <c r="H98" s="175"/>
      <c r="I98" s="95"/>
      <c r="J98" s="46"/>
      <c r="K98" s="45"/>
    </row>
    <row r="99" spans="2:13" ht="15" x14ac:dyDescent="0.35">
      <c r="D99" s="24"/>
      <c r="E99" s="44"/>
      <c r="F99" s="95"/>
      <c r="I99" s="95"/>
      <c r="J99" s="46"/>
    </row>
    <row r="100" spans="2:13" ht="15" x14ac:dyDescent="0.35">
      <c r="B100" s="63"/>
      <c r="D100" s="24"/>
      <c r="E100" s="44"/>
      <c r="F100" s="95"/>
      <c r="G100" s="46"/>
      <c r="I100" s="95"/>
      <c r="J100" s="46"/>
      <c r="K100" s="46"/>
    </row>
    <row r="101" spans="2:13" ht="15" x14ac:dyDescent="0.35">
      <c r="D101" s="24"/>
      <c r="E101" s="44"/>
      <c r="F101" s="102"/>
      <c r="G101" s="46"/>
      <c r="J101" s="46"/>
      <c r="K101" s="46"/>
    </row>
    <row r="102" spans="2:13" ht="15" x14ac:dyDescent="0.35">
      <c r="D102" s="24"/>
      <c r="E102" s="46"/>
      <c r="F102" s="46"/>
      <c r="G102" s="46"/>
      <c r="J102" s="46"/>
      <c r="K102" s="46"/>
    </row>
    <row r="103" spans="2:13" ht="15" x14ac:dyDescent="0.35">
      <c r="B103" s="63"/>
      <c r="D103" s="24"/>
      <c r="E103" s="91"/>
      <c r="G103" s="46"/>
      <c r="J103" s="46"/>
      <c r="K103" s="46"/>
      <c r="L103" s="63"/>
    </row>
    <row r="104" spans="2:13" ht="15" x14ac:dyDescent="0.35">
      <c r="B104" s="63"/>
      <c r="D104" s="24"/>
      <c r="E104" s="46"/>
      <c r="F104" s="46"/>
      <c r="G104" s="46"/>
      <c r="J104" s="46"/>
      <c r="K104" s="46"/>
    </row>
    <row r="105" spans="2:13" ht="15" x14ac:dyDescent="0.35">
      <c r="D105" s="24"/>
      <c r="E105" s="46"/>
      <c r="G105" s="46"/>
      <c r="J105" s="46"/>
      <c r="K105" s="46"/>
      <c r="L105" s="63"/>
      <c r="M105" s="26"/>
    </row>
    <row r="106" spans="2:13" ht="15" x14ac:dyDescent="0.35">
      <c r="B106" s="63"/>
      <c r="D106" s="24"/>
      <c r="E106" s="54"/>
      <c r="G106" s="46"/>
      <c r="J106" s="46"/>
      <c r="K106" s="46"/>
      <c r="L106" s="63"/>
      <c r="M106" s="26"/>
    </row>
    <row r="107" spans="2:13" x14ac:dyDescent="0.2">
      <c r="D107" s="19"/>
      <c r="E107" s="26"/>
      <c r="L107" s="63"/>
      <c r="M107" s="26"/>
    </row>
    <row r="108" spans="2:13" x14ac:dyDescent="0.2">
      <c r="D108" s="19"/>
      <c r="E108" s="26"/>
      <c r="L108" s="63"/>
      <c r="M108" s="26"/>
    </row>
    <row r="109" spans="2:13" x14ac:dyDescent="0.2">
      <c r="B109" s="63"/>
      <c r="D109" s="19"/>
      <c r="E109" s="26"/>
      <c r="F109" s="45"/>
      <c r="L109" s="63"/>
      <c r="M109" s="26"/>
    </row>
    <row r="110" spans="2:13" ht="15" x14ac:dyDescent="0.35">
      <c r="F110" s="26"/>
      <c r="G110" s="26"/>
      <c r="L110" s="63"/>
      <c r="M110" s="52"/>
    </row>
    <row r="111" spans="2:13" x14ac:dyDescent="0.2">
      <c r="B111" s="1"/>
      <c r="E111" s="98"/>
      <c r="F111" s="26"/>
      <c r="G111" s="26"/>
      <c r="M111" s="26"/>
    </row>
    <row r="112" spans="2:13" x14ac:dyDescent="0.2">
      <c r="B112" s="1"/>
      <c r="F112" s="26"/>
      <c r="G112" s="26"/>
    </row>
    <row r="113" spans="2:11" x14ac:dyDescent="0.2">
      <c r="C113" s="26"/>
      <c r="D113" s="48"/>
      <c r="E113" s="48"/>
      <c r="F113" s="48"/>
      <c r="G113" s="48"/>
    </row>
    <row r="114" spans="2:11" x14ac:dyDescent="0.2">
      <c r="F114" s="48"/>
      <c r="G114" s="48"/>
      <c r="K114" s="26"/>
    </row>
    <row r="115" spans="2:11" x14ac:dyDescent="0.2">
      <c r="B115" s="63"/>
      <c r="C115" s="26"/>
      <c r="E115" s="26"/>
      <c r="F115" s="48"/>
      <c r="G115" s="48"/>
      <c r="K115" s="26"/>
    </row>
    <row r="116" spans="2:11" x14ac:dyDescent="0.2">
      <c r="C116" s="26"/>
      <c r="E116" s="26"/>
      <c r="F116" s="48"/>
      <c r="G116" s="48"/>
    </row>
    <row r="117" spans="2:11" x14ac:dyDescent="0.2">
      <c r="B117" s="63"/>
      <c r="C117" s="26"/>
      <c r="E117" s="26"/>
      <c r="F117" s="48"/>
      <c r="G117" s="48"/>
    </row>
    <row r="118" spans="2:11" ht="15" customHeight="1" x14ac:dyDescent="0.2">
      <c r="B118" s="63"/>
      <c r="C118" s="26"/>
      <c r="E118" s="26"/>
      <c r="F118" s="48"/>
      <c r="G118" s="48"/>
    </row>
    <row r="119" spans="2:11" ht="15" customHeight="1" x14ac:dyDescent="0.35">
      <c r="B119" s="63"/>
      <c r="E119" s="52"/>
      <c r="F119" s="48"/>
      <c r="G119" s="48"/>
    </row>
    <row r="120" spans="2:11" ht="15" customHeight="1" x14ac:dyDescent="0.35">
      <c r="F120" s="131"/>
      <c r="G120" s="48"/>
      <c r="K120" s="26"/>
    </row>
    <row r="121" spans="2:11" ht="15" customHeight="1" x14ac:dyDescent="0.35">
      <c r="C121" s="26"/>
      <c r="D121" s="49"/>
      <c r="E121" s="49"/>
      <c r="F121" s="48"/>
      <c r="G121" s="48"/>
      <c r="K121" s="26"/>
    </row>
    <row r="122" spans="2:11" x14ac:dyDescent="0.2">
      <c r="G122" s="48"/>
    </row>
    <row r="123" spans="2:11" x14ac:dyDescent="0.2">
      <c r="D123" s="48"/>
      <c r="F123" s="48"/>
      <c r="G123" s="48"/>
      <c r="K123" s="45"/>
    </row>
    <row r="124" spans="2:11" x14ac:dyDescent="0.2">
      <c r="C124" s="45"/>
      <c r="D124" s="46"/>
      <c r="E124" s="46"/>
      <c r="F124" s="45"/>
      <c r="G124" s="46"/>
      <c r="K124" s="50"/>
    </row>
    <row r="125" spans="2:11" x14ac:dyDescent="0.2">
      <c r="C125" s="50"/>
      <c r="D125" s="46"/>
      <c r="E125" s="46"/>
      <c r="F125" s="50"/>
      <c r="G125" s="46"/>
    </row>
    <row r="126" spans="2:11" x14ac:dyDescent="0.2">
      <c r="B126" s="63"/>
      <c r="D126" s="46"/>
      <c r="E126" s="46"/>
      <c r="F126" s="46"/>
      <c r="G126" s="46"/>
    </row>
    <row r="127" spans="2:11" x14ac:dyDescent="0.2">
      <c r="D127" s="46"/>
      <c r="E127" s="46"/>
      <c r="F127" s="46"/>
      <c r="G127" s="46"/>
    </row>
    <row r="128" spans="2:11" x14ac:dyDescent="0.2">
      <c r="D128" s="46"/>
      <c r="E128" s="46"/>
      <c r="F128" s="46"/>
      <c r="G128" s="46"/>
    </row>
    <row r="129" spans="2:13" x14ac:dyDescent="0.2">
      <c r="D129" s="28"/>
    </row>
    <row r="130" spans="2:13" x14ac:dyDescent="0.2">
      <c r="B130" s="64"/>
      <c r="F130" s="26"/>
      <c r="G130" s="26"/>
      <c r="K130" s="46"/>
    </row>
    <row r="131" spans="2:13" x14ac:dyDescent="0.2">
      <c r="B131" s="63"/>
      <c r="C131" s="46"/>
      <c r="E131" s="46"/>
      <c r="M131" s="98"/>
    </row>
    <row r="132" spans="2:13" x14ac:dyDescent="0.2">
      <c r="F132" s="26"/>
      <c r="G132" s="26"/>
    </row>
    <row r="133" spans="2:13" x14ac:dyDescent="0.2">
      <c r="B133" s="63"/>
    </row>
    <row r="134" spans="2:13" ht="15" x14ac:dyDescent="0.35">
      <c r="B134" s="63"/>
      <c r="E134" s="44"/>
      <c r="F134" s="176"/>
      <c r="G134" s="176"/>
    </row>
    <row r="135" spans="2:13" x14ac:dyDescent="0.2">
      <c r="B135" s="63"/>
    </row>
    <row r="136" spans="2:13" x14ac:dyDescent="0.2">
      <c r="F136" s="26"/>
      <c r="G136" s="26"/>
    </row>
    <row r="137" spans="2:13" ht="15" x14ac:dyDescent="0.35">
      <c r="B137" s="63"/>
      <c r="E137" s="48"/>
      <c r="F137" s="31"/>
      <c r="G137" s="31"/>
    </row>
    <row r="138" spans="2:13" x14ac:dyDescent="0.2">
      <c r="B138" s="15"/>
    </row>
    <row r="139" spans="2:13" x14ac:dyDescent="0.2">
      <c r="F139" s="26"/>
      <c r="G139" s="26"/>
    </row>
    <row r="141" spans="2:13" x14ac:dyDescent="0.2">
      <c r="F141" s="46"/>
      <c r="G141" s="46"/>
    </row>
    <row r="144" spans="2:13" x14ac:dyDescent="0.2">
      <c r="F144" s="46"/>
      <c r="G144" s="46"/>
    </row>
    <row r="145" spans="2:7" x14ac:dyDescent="0.2">
      <c r="F145" s="46"/>
      <c r="G145" s="46"/>
    </row>
    <row r="147" spans="2:7" x14ac:dyDescent="0.2">
      <c r="F147" s="26"/>
      <c r="G147" s="26"/>
    </row>
    <row r="148" spans="2:7" x14ac:dyDescent="0.2">
      <c r="F148" s="55"/>
      <c r="G148" s="55"/>
    </row>
    <row r="149" spans="2:7" x14ac:dyDescent="0.2">
      <c r="B149" s="63"/>
    </row>
    <row r="150" spans="2:7" x14ac:dyDescent="0.2">
      <c r="B150" s="63"/>
    </row>
    <row r="151" spans="2:7" x14ac:dyDescent="0.2">
      <c r="B151" s="63"/>
    </row>
    <row r="152" spans="2:7" x14ac:dyDescent="0.2">
      <c r="B152" s="63"/>
    </row>
    <row r="153" spans="2:7" x14ac:dyDescent="0.2">
      <c r="B153" s="63"/>
    </row>
    <row r="154" spans="2:7" x14ac:dyDescent="0.2">
      <c r="B154" s="63"/>
    </row>
    <row r="156" spans="2:7" x14ac:dyDescent="0.2">
      <c r="F156" s="46"/>
      <c r="G156" s="46"/>
    </row>
    <row r="157" spans="2:7" x14ac:dyDescent="0.2">
      <c r="B157" s="1"/>
    </row>
    <row r="158" spans="2:7" x14ac:dyDescent="0.2">
      <c r="F158" s="46"/>
      <c r="G158" s="46"/>
    </row>
    <row r="159" spans="2:7" x14ac:dyDescent="0.2">
      <c r="C159" s="26"/>
    </row>
    <row r="160" spans="2:7" x14ac:dyDescent="0.2">
      <c r="B160" s="65"/>
      <c r="E160" s="97"/>
    </row>
    <row r="161" spans="2:5" x14ac:dyDescent="0.2">
      <c r="B161" s="65"/>
      <c r="E161" s="97"/>
    </row>
    <row r="162" spans="2:5" x14ac:dyDescent="0.2">
      <c r="B162" s="65"/>
      <c r="E162" s="97"/>
    </row>
    <row r="163" spans="2:5" x14ac:dyDescent="0.2">
      <c r="B163" s="65"/>
      <c r="E163" s="97"/>
    </row>
    <row r="164" spans="2:5" x14ac:dyDescent="0.2">
      <c r="B164" s="65"/>
      <c r="E164" s="97"/>
    </row>
    <row r="165" spans="2:5" x14ac:dyDescent="0.2">
      <c r="B165" s="17"/>
    </row>
    <row r="166" spans="2:5" x14ac:dyDescent="0.2">
      <c r="B166" s="17"/>
    </row>
    <row r="167" spans="2:5" x14ac:dyDescent="0.2">
      <c r="B167" s="17"/>
    </row>
    <row r="168" spans="2:5" x14ac:dyDescent="0.2">
      <c r="B168" s="17"/>
    </row>
    <row r="169" spans="2:5" x14ac:dyDescent="0.2">
      <c r="B169" s="17"/>
    </row>
    <row r="170" spans="2:5" x14ac:dyDescent="0.2">
      <c r="B170" s="17"/>
    </row>
    <row r="171" spans="2:5" x14ac:dyDescent="0.2">
      <c r="B171" s="17"/>
    </row>
    <row r="172" spans="2:5" x14ac:dyDescent="0.2">
      <c r="B172" s="65"/>
    </row>
    <row r="179" spans="2:3" x14ac:dyDescent="0.2">
      <c r="B179" s="1"/>
    </row>
    <row r="180" spans="2:3" x14ac:dyDescent="0.2">
      <c r="B180" s="1"/>
    </row>
    <row r="181" spans="2:3" x14ac:dyDescent="0.2">
      <c r="B181" s="2"/>
    </row>
    <row r="183" spans="2:3" x14ac:dyDescent="0.2">
      <c r="C183" s="26"/>
    </row>
    <row r="184" spans="2:3" x14ac:dyDescent="0.2">
      <c r="B184" s="65"/>
    </row>
    <row r="185" spans="2:3" x14ac:dyDescent="0.2">
      <c r="B185" s="65"/>
    </row>
    <row r="186" spans="2:3" x14ac:dyDescent="0.2">
      <c r="B186" s="65"/>
    </row>
    <row r="187" spans="2:3" x14ac:dyDescent="0.2">
      <c r="B187" s="65"/>
    </row>
    <row r="188" spans="2:3" x14ac:dyDescent="0.2">
      <c r="B188" s="65"/>
    </row>
    <row r="189" spans="2:3" x14ac:dyDescent="0.2">
      <c r="B189" s="17"/>
    </row>
    <row r="190" spans="2:3" x14ac:dyDescent="0.2">
      <c r="B190" s="17"/>
    </row>
    <row r="191" spans="2:3" x14ac:dyDescent="0.2">
      <c r="B191" s="17"/>
    </row>
    <row r="192" spans="2:3" x14ac:dyDescent="0.2">
      <c r="B192" s="17"/>
    </row>
    <row r="193" spans="2:2" x14ac:dyDescent="0.2">
      <c r="B193" s="17"/>
    </row>
    <row r="194" spans="2:2" x14ac:dyDescent="0.2">
      <c r="B194" s="17"/>
    </row>
    <row r="195" spans="2:2" x14ac:dyDescent="0.2">
      <c r="B195" s="17"/>
    </row>
    <row r="196" spans="2:2" x14ac:dyDescent="0.2">
      <c r="B196" s="65"/>
    </row>
    <row r="201" spans="2:2" x14ac:dyDescent="0.2">
      <c r="B201" s="63"/>
    </row>
    <row r="203" spans="2:2" x14ac:dyDescent="0.2">
      <c r="B203" s="63"/>
    </row>
    <row r="204" spans="2:2" x14ac:dyDescent="0.2">
      <c r="B204" s="63"/>
    </row>
    <row r="216" spans="2:2" x14ac:dyDescent="0.2">
      <c r="B216" s="63" t="s">
        <v>127</v>
      </c>
    </row>
  </sheetData>
  <phoneticPr fontId="0" type="noConversion"/>
  <pageMargins left="0.75" right="0.75" top="1" bottom="1" header="0.5" footer="0.5"/>
  <pageSetup scale="52" fitToHeight="0" orientation="portrait" cellComments="asDisplayed" r:id="rId1"/>
  <headerFooter alignWithMargins="0"/>
  <rowBreaks count="1" manualBreakCount="1">
    <brk id="88" max="1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37"/>
  <sheetViews>
    <sheetView workbookViewId="0">
      <selection activeCell="H8" sqref="H8"/>
    </sheetView>
  </sheetViews>
  <sheetFormatPr defaultRowHeight="12.75" x14ac:dyDescent="0.2"/>
  <cols>
    <col min="1" max="1" width="48.5703125" bestFit="1" customWidth="1"/>
    <col min="2" max="2" width="11" customWidth="1"/>
    <col min="3" max="3" width="13.85546875" customWidth="1"/>
    <col min="4" max="4" width="45.140625" customWidth="1"/>
  </cols>
  <sheetData>
    <row r="1" spans="1:4" x14ac:dyDescent="0.2">
      <c r="A1" s="1" t="str">
        <f>+'SUMMARY PROFORMA'!A1</f>
        <v>MVHO - TINY HOME COMMUNITY</v>
      </c>
    </row>
    <row r="2" spans="1:4" x14ac:dyDescent="0.2">
      <c r="A2" s="1" t="s">
        <v>72</v>
      </c>
    </row>
    <row r="3" spans="1:4" x14ac:dyDescent="0.2">
      <c r="A3" s="2" t="str">
        <f>+'COST DETAIL'!A3</f>
        <v>SEPTEMBER 12, 2023</v>
      </c>
    </row>
    <row r="6" spans="1:4" x14ac:dyDescent="0.2">
      <c r="A6" t="s">
        <v>63</v>
      </c>
      <c r="B6" s="3"/>
      <c r="C6" s="3">
        <v>168800</v>
      </c>
    </row>
    <row r="7" spans="1:4" x14ac:dyDescent="0.2">
      <c r="B7" s="3"/>
      <c r="C7" s="3"/>
    </row>
    <row r="8" spans="1:4" x14ac:dyDescent="0.2">
      <c r="A8" t="s">
        <v>64</v>
      </c>
      <c r="B8" s="3"/>
      <c r="C8" s="3"/>
    </row>
    <row r="9" spans="1:4" x14ac:dyDescent="0.2">
      <c r="B9" s="3"/>
      <c r="C9" s="3"/>
    </row>
    <row r="10" spans="1:4" x14ac:dyDescent="0.2">
      <c r="A10" t="s">
        <v>65</v>
      </c>
      <c r="B10" s="3">
        <v>15000</v>
      </c>
      <c r="C10" s="3"/>
      <c r="D10" s="6" t="s">
        <v>74</v>
      </c>
    </row>
    <row r="11" spans="1:4" x14ac:dyDescent="0.2">
      <c r="A11" t="s">
        <v>78</v>
      </c>
      <c r="B11" s="3">
        <v>2000</v>
      </c>
      <c r="C11" s="3"/>
      <c r="D11" s="6" t="s">
        <v>79</v>
      </c>
    </row>
    <row r="12" spans="1:4" x14ac:dyDescent="0.2">
      <c r="A12" t="s">
        <v>73</v>
      </c>
      <c r="B12" s="3">
        <v>5000</v>
      </c>
      <c r="C12" s="3"/>
      <c r="D12" s="6" t="s">
        <v>76</v>
      </c>
    </row>
    <row r="13" spans="1:4" x14ac:dyDescent="0.2">
      <c r="A13" t="s">
        <v>80</v>
      </c>
      <c r="B13" s="3">
        <v>1500</v>
      </c>
      <c r="C13" s="3"/>
      <c r="D13" s="6" t="s">
        <v>76</v>
      </c>
    </row>
    <row r="14" spans="1:4" x14ac:dyDescent="0.2">
      <c r="A14" t="s">
        <v>81</v>
      </c>
      <c r="B14" s="3">
        <v>3000</v>
      </c>
      <c r="C14" s="3"/>
      <c r="D14" s="6" t="s">
        <v>76</v>
      </c>
    </row>
    <row r="15" spans="1:4" x14ac:dyDescent="0.2">
      <c r="A15" t="s">
        <v>67</v>
      </c>
      <c r="B15" s="3">
        <v>16500</v>
      </c>
      <c r="C15" s="3"/>
      <c r="D15" s="6" t="s">
        <v>74</v>
      </c>
    </row>
    <row r="16" spans="1:4" x14ac:dyDescent="0.2">
      <c r="A16" t="s">
        <v>77</v>
      </c>
      <c r="B16" s="3">
        <v>3500</v>
      </c>
      <c r="C16" s="3"/>
      <c r="D16" s="6" t="s">
        <v>76</v>
      </c>
    </row>
    <row r="17" spans="1:4" x14ac:dyDescent="0.2">
      <c r="A17" t="s">
        <v>82</v>
      </c>
      <c r="B17" s="3">
        <v>29000</v>
      </c>
      <c r="C17" s="3"/>
      <c r="D17" s="6" t="s">
        <v>76</v>
      </c>
    </row>
    <row r="18" spans="1:4" x14ac:dyDescent="0.2">
      <c r="A18" t="s">
        <v>68</v>
      </c>
      <c r="B18" s="3">
        <v>18000</v>
      </c>
      <c r="C18" s="3"/>
      <c r="D18" s="6" t="s">
        <v>74</v>
      </c>
    </row>
    <row r="19" spans="1:4" x14ac:dyDescent="0.2">
      <c r="A19" t="s">
        <v>66</v>
      </c>
      <c r="B19" s="3">
        <v>15000</v>
      </c>
      <c r="C19" s="3"/>
      <c r="D19" s="6" t="s">
        <v>76</v>
      </c>
    </row>
    <row r="20" spans="1:4" ht="15" x14ac:dyDescent="0.35">
      <c r="A20" t="s">
        <v>69</v>
      </c>
      <c r="B20" s="4">
        <v>12000</v>
      </c>
      <c r="C20" s="3"/>
      <c r="D20" s="6" t="s">
        <v>75</v>
      </c>
    </row>
    <row r="21" spans="1:4" ht="15" x14ac:dyDescent="0.35">
      <c r="B21" s="3"/>
      <c r="C21" s="4">
        <f>-SUM(B10:B20)</f>
        <v>-120500</v>
      </c>
    </row>
    <row r="22" spans="1:4" x14ac:dyDescent="0.2">
      <c r="B22" s="3"/>
      <c r="C22" s="3"/>
    </row>
    <row r="23" spans="1:4" x14ac:dyDescent="0.2">
      <c r="A23" t="s">
        <v>70</v>
      </c>
      <c r="B23" s="3"/>
      <c r="C23" s="3">
        <f>+C6+C21</f>
        <v>48300</v>
      </c>
    </row>
    <row r="24" spans="1:4" x14ac:dyDescent="0.2">
      <c r="B24" s="3"/>
      <c r="C24" s="3"/>
    </row>
    <row r="25" spans="1:4" x14ac:dyDescent="0.2">
      <c r="A25" t="s">
        <v>71</v>
      </c>
      <c r="B25" s="3"/>
      <c r="C25" s="3">
        <f>+C23/12</f>
        <v>4025</v>
      </c>
    </row>
    <row r="27" spans="1:4" x14ac:dyDescent="0.2">
      <c r="A27" t="s">
        <v>83</v>
      </c>
      <c r="C27" s="11">
        <v>8</v>
      </c>
    </row>
    <row r="29" spans="1:4" x14ac:dyDescent="0.2">
      <c r="A29" t="s">
        <v>84</v>
      </c>
      <c r="C29" s="3">
        <f>+C27*C25</f>
        <v>32200</v>
      </c>
    </row>
    <row r="31" spans="1:4" x14ac:dyDescent="0.2">
      <c r="A31" t="s">
        <v>85</v>
      </c>
    </row>
    <row r="32" spans="1:4" x14ac:dyDescent="0.2">
      <c r="A32" t="s">
        <v>86</v>
      </c>
      <c r="B32" s="3">
        <v>4000</v>
      </c>
      <c r="C32" s="3"/>
    </row>
    <row r="33" spans="1:3" x14ac:dyDescent="0.2">
      <c r="A33" t="s">
        <v>87</v>
      </c>
      <c r="B33" s="3">
        <v>500</v>
      </c>
      <c r="C33" s="3"/>
    </row>
    <row r="34" spans="1:3" ht="15" x14ac:dyDescent="0.35">
      <c r="A34" t="s">
        <v>88</v>
      </c>
      <c r="B34" s="4">
        <v>7500</v>
      </c>
      <c r="C34" s="3"/>
    </row>
    <row r="35" spans="1:3" ht="15" x14ac:dyDescent="0.35">
      <c r="B35" s="3"/>
      <c r="C35" s="4">
        <f>SUM(B32:B34)</f>
        <v>12000</v>
      </c>
    </row>
    <row r="37" spans="1:3" ht="15" x14ac:dyDescent="0.35">
      <c r="A37" t="s">
        <v>89</v>
      </c>
      <c r="C37" s="12">
        <f>+C35+C29</f>
        <v>44200</v>
      </c>
    </row>
  </sheetData>
  <phoneticPr fontId="0" type="noConversion"/>
  <pageMargins left="0.75" right="0.75" top="1" bottom="1" header="0.5" footer="0.5"/>
  <pageSetup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9"/>
  <sheetViews>
    <sheetView topLeftCell="A55" workbookViewId="0">
      <selection activeCell="F8" sqref="F8:F44"/>
    </sheetView>
  </sheetViews>
  <sheetFormatPr defaultRowHeight="12.75" x14ac:dyDescent="0.2"/>
  <cols>
    <col min="1" max="1" width="36.7109375" customWidth="1"/>
    <col min="2" max="5" width="0" hidden="1" customWidth="1"/>
    <col min="6" max="6" width="17" customWidth="1"/>
    <col min="7" max="7" width="19.5703125" customWidth="1"/>
    <col min="8" max="8" width="14.140625" customWidth="1"/>
    <col min="9" max="9" width="40.42578125" customWidth="1"/>
    <col min="10" max="10" width="16.7109375" customWidth="1"/>
  </cols>
  <sheetData>
    <row r="1" spans="1:11" x14ac:dyDescent="0.2">
      <c r="A1" s="1" t="s">
        <v>124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">
      <c r="A2" s="1" t="s">
        <v>92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">
      <c r="A3" s="33" t="s">
        <v>125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">
      <c r="A4" s="16"/>
      <c r="B4" s="16"/>
      <c r="C4" s="16"/>
      <c r="D4" s="17" t="s">
        <v>34</v>
      </c>
      <c r="E4" s="17"/>
      <c r="F4" s="17"/>
      <c r="G4" s="16"/>
      <c r="H4" s="16"/>
      <c r="I4" s="16"/>
      <c r="J4" s="16"/>
      <c r="K4" s="16"/>
    </row>
    <row r="5" spans="1:11" x14ac:dyDescent="0.2">
      <c r="A5" s="16"/>
      <c r="B5" s="16"/>
      <c r="C5" s="17"/>
      <c r="D5" s="17"/>
      <c r="E5" s="17"/>
      <c r="F5" s="17"/>
      <c r="G5" s="16"/>
      <c r="H5" s="16"/>
      <c r="I5" s="16"/>
      <c r="J5" s="16"/>
      <c r="K5" s="16"/>
    </row>
    <row r="6" spans="1:11" x14ac:dyDescent="0.2">
      <c r="A6" s="16"/>
      <c r="B6" s="16"/>
      <c r="C6" s="17"/>
      <c r="D6" s="17"/>
      <c r="E6" s="17"/>
      <c r="F6" s="18"/>
      <c r="G6" s="16"/>
      <c r="H6" s="16"/>
      <c r="I6" s="16"/>
      <c r="J6" s="16"/>
      <c r="K6" s="16"/>
    </row>
    <row r="7" spans="1:11" x14ac:dyDescent="0.2">
      <c r="A7" s="16"/>
      <c r="B7" s="16"/>
      <c r="C7" s="16"/>
      <c r="D7" s="16"/>
      <c r="E7" s="16"/>
      <c r="F7" s="16"/>
      <c r="G7" s="17" t="s">
        <v>107</v>
      </c>
      <c r="H7" s="17" t="s">
        <v>108</v>
      </c>
      <c r="I7" s="16"/>
      <c r="J7" s="16"/>
      <c r="K7" s="16"/>
    </row>
    <row r="8" spans="1:11" x14ac:dyDescent="0.2">
      <c r="A8" s="16" t="s">
        <v>106</v>
      </c>
      <c r="B8" s="16"/>
      <c r="C8" s="19"/>
      <c r="D8" s="20" t="e">
        <v>#REF!</v>
      </c>
      <c r="E8" s="20" t="e">
        <v>#REF!</v>
      </c>
      <c r="F8" s="20">
        <v>1314000</v>
      </c>
      <c r="G8" s="20">
        <v>1182600</v>
      </c>
      <c r="H8" s="20"/>
      <c r="I8" s="20">
        <v>32850</v>
      </c>
      <c r="J8" s="16"/>
      <c r="K8" s="16"/>
    </row>
    <row r="9" spans="1:11" x14ac:dyDescent="0.2">
      <c r="A9" s="16" t="s">
        <v>0</v>
      </c>
      <c r="B9" s="16"/>
      <c r="C9" s="19"/>
      <c r="D9" s="20" t="e">
        <v>#REF!</v>
      </c>
      <c r="E9" s="20" t="e">
        <v>#REF!</v>
      </c>
      <c r="F9" s="20">
        <v>2800000</v>
      </c>
      <c r="G9" s="20"/>
      <c r="H9" s="20">
        <v>2800000</v>
      </c>
      <c r="I9" s="16"/>
      <c r="J9" s="16"/>
      <c r="K9" s="16"/>
    </row>
    <row r="10" spans="1:11" x14ac:dyDescent="0.2">
      <c r="A10" s="16" t="s">
        <v>126</v>
      </c>
      <c r="B10" s="16"/>
      <c r="C10" s="19"/>
      <c r="D10" s="20"/>
      <c r="E10" s="20"/>
      <c r="F10" s="20">
        <v>200000</v>
      </c>
      <c r="G10" s="20"/>
      <c r="H10" s="20">
        <v>200000</v>
      </c>
      <c r="I10" s="17"/>
      <c r="J10" s="16"/>
      <c r="K10" s="16"/>
    </row>
    <row r="11" spans="1:11" x14ac:dyDescent="0.2">
      <c r="A11" s="16" t="s">
        <v>1</v>
      </c>
      <c r="B11" s="16"/>
      <c r="C11" s="19"/>
      <c r="D11" s="20" t="e">
        <v>#REF!</v>
      </c>
      <c r="E11" s="20" t="e">
        <v>#REF!</v>
      </c>
      <c r="F11" s="20">
        <v>383040</v>
      </c>
      <c r="G11" s="20"/>
      <c r="H11" s="20">
        <v>383040</v>
      </c>
      <c r="I11" s="17" t="s">
        <v>129</v>
      </c>
      <c r="J11" s="16"/>
      <c r="K11" s="16"/>
    </row>
    <row r="12" spans="1:11" x14ac:dyDescent="0.2">
      <c r="A12" s="16" t="s">
        <v>2</v>
      </c>
      <c r="B12" s="16"/>
      <c r="C12" s="19"/>
      <c r="D12" s="20" t="e">
        <v>#REF!</v>
      </c>
      <c r="E12" s="20" t="e">
        <v>#REF!</v>
      </c>
      <c r="F12" s="20">
        <v>168000</v>
      </c>
      <c r="G12" s="20"/>
      <c r="H12" s="20">
        <v>168000</v>
      </c>
      <c r="I12" s="16"/>
      <c r="J12" s="16"/>
      <c r="K12" s="16"/>
    </row>
    <row r="13" spans="1:11" x14ac:dyDescent="0.2">
      <c r="A13" s="16" t="s">
        <v>3</v>
      </c>
      <c r="B13" s="16"/>
      <c r="C13" s="19"/>
      <c r="D13" s="20" t="e">
        <v>#REF!</v>
      </c>
      <c r="E13" s="20" t="e">
        <v>#REF!</v>
      </c>
      <c r="F13" s="20">
        <v>56000</v>
      </c>
      <c r="G13" s="20"/>
      <c r="H13" s="20">
        <v>56000</v>
      </c>
      <c r="I13" s="16"/>
      <c r="J13" s="16"/>
      <c r="K13" s="16"/>
    </row>
    <row r="14" spans="1:11" x14ac:dyDescent="0.2">
      <c r="A14" s="16" t="s">
        <v>4</v>
      </c>
      <c r="B14" s="16"/>
      <c r="C14" s="19"/>
      <c r="D14" s="20" t="e">
        <v>#REF!</v>
      </c>
      <c r="E14" s="20" t="e">
        <v>#REF!</v>
      </c>
      <c r="F14" s="20">
        <v>168000</v>
      </c>
      <c r="G14" s="20"/>
      <c r="H14" s="20">
        <v>168000</v>
      </c>
      <c r="I14" s="16"/>
      <c r="J14" s="16"/>
      <c r="K14" s="16"/>
    </row>
    <row r="15" spans="1:11" x14ac:dyDescent="0.2">
      <c r="A15" s="16" t="s">
        <v>99</v>
      </c>
      <c r="B15" s="16"/>
      <c r="C15" s="19"/>
      <c r="D15" s="20" t="e">
        <v>#REF!</v>
      </c>
      <c r="E15" s="20" t="e">
        <v>#REF!</v>
      </c>
      <c r="F15" s="20">
        <v>15000</v>
      </c>
      <c r="G15" s="20"/>
      <c r="H15" s="20">
        <v>15000</v>
      </c>
      <c r="I15" s="16"/>
      <c r="J15" s="16"/>
      <c r="K15" s="16"/>
    </row>
    <row r="16" spans="1:11" x14ac:dyDescent="0.2">
      <c r="A16" s="16" t="s">
        <v>5</v>
      </c>
      <c r="B16" s="16"/>
      <c r="C16" s="19"/>
      <c r="D16" s="20" t="e">
        <v>#REF!</v>
      </c>
      <c r="E16" s="20" t="e">
        <v>#REF!</v>
      </c>
      <c r="F16" s="20">
        <v>188000</v>
      </c>
      <c r="G16" s="20"/>
      <c r="H16" s="20">
        <v>188000</v>
      </c>
      <c r="I16" s="16"/>
      <c r="J16" s="16"/>
      <c r="K16" s="16"/>
    </row>
    <row r="17" spans="1:11" x14ac:dyDescent="0.2">
      <c r="A17" s="16" t="s">
        <v>6</v>
      </c>
      <c r="B17" s="16"/>
      <c r="C17" s="19"/>
      <c r="D17" s="20" t="e">
        <v>#REF!</v>
      </c>
      <c r="E17" s="20" t="e">
        <v>#REF!</v>
      </c>
      <c r="F17" s="20">
        <v>31500</v>
      </c>
      <c r="G17" s="20"/>
      <c r="H17" s="20">
        <v>31500</v>
      </c>
      <c r="I17" s="16"/>
      <c r="J17" s="16"/>
      <c r="K17" s="16"/>
    </row>
    <row r="18" spans="1:11" x14ac:dyDescent="0.2">
      <c r="A18" s="16" t="s">
        <v>7</v>
      </c>
      <c r="B18" s="16"/>
      <c r="C18" s="19"/>
      <c r="D18" s="20" t="e">
        <v>#REF!</v>
      </c>
      <c r="E18" s="20" t="e">
        <v>#REF!</v>
      </c>
      <c r="F18" s="20">
        <v>0</v>
      </c>
      <c r="G18" s="20"/>
      <c r="H18" s="20">
        <v>0</v>
      </c>
      <c r="I18" s="16"/>
      <c r="J18" s="16"/>
      <c r="K18" s="16"/>
    </row>
    <row r="19" spans="1:11" x14ac:dyDescent="0.2">
      <c r="A19" s="16" t="s">
        <v>8</v>
      </c>
      <c r="B19" s="16"/>
      <c r="C19" s="19"/>
      <c r="D19" s="20" t="e">
        <v>#REF!</v>
      </c>
      <c r="E19" s="20" t="e">
        <v>#REF!</v>
      </c>
      <c r="F19" s="20">
        <v>54036.08</v>
      </c>
      <c r="G19" s="20"/>
      <c r="H19" s="20">
        <v>54036.08</v>
      </c>
      <c r="I19" s="16"/>
      <c r="J19" s="16"/>
      <c r="K19" s="16"/>
    </row>
    <row r="20" spans="1:11" x14ac:dyDescent="0.2">
      <c r="A20" s="16" t="s">
        <v>9</v>
      </c>
      <c r="B20" s="16"/>
      <c r="C20" s="19"/>
      <c r="D20" s="20">
        <v>0</v>
      </c>
      <c r="E20" s="20" t="e">
        <v>#REF!</v>
      </c>
      <c r="F20" s="20">
        <v>85000</v>
      </c>
      <c r="G20" s="20"/>
      <c r="H20" s="20">
        <v>85000</v>
      </c>
      <c r="I20" s="16"/>
      <c r="J20" s="16"/>
      <c r="K20" s="16"/>
    </row>
    <row r="21" spans="1:11" x14ac:dyDescent="0.2">
      <c r="A21" s="16" t="s">
        <v>90</v>
      </c>
      <c r="B21" s="16"/>
      <c r="C21" s="19"/>
      <c r="D21" s="20"/>
      <c r="E21" s="20"/>
      <c r="F21" s="20">
        <v>0</v>
      </c>
      <c r="G21" s="20"/>
      <c r="H21" s="20">
        <v>0</v>
      </c>
      <c r="I21" s="16"/>
      <c r="J21" s="16"/>
      <c r="K21" s="16"/>
    </row>
    <row r="22" spans="1:11" x14ac:dyDescent="0.2">
      <c r="A22" s="16" t="s">
        <v>10</v>
      </c>
      <c r="B22" s="16"/>
      <c r="C22" s="19"/>
      <c r="D22" s="20">
        <v>0</v>
      </c>
      <c r="E22" s="20" t="e">
        <v>#REF!</v>
      </c>
      <c r="F22" s="20">
        <v>53860.785866312333</v>
      </c>
      <c r="G22" s="20"/>
      <c r="H22" s="20">
        <v>53860.785866312333</v>
      </c>
      <c r="I22" s="16"/>
      <c r="J22" s="16"/>
      <c r="K22" s="16"/>
    </row>
    <row r="23" spans="1:11" x14ac:dyDescent="0.2">
      <c r="A23" s="16" t="s">
        <v>98</v>
      </c>
      <c r="B23" s="16"/>
      <c r="C23" s="19"/>
      <c r="D23" s="20"/>
      <c r="E23" s="20"/>
      <c r="F23" s="20">
        <v>6858.3109749937221</v>
      </c>
      <c r="G23" s="20"/>
      <c r="H23" s="20"/>
      <c r="I23" s="16"/>
      <c r="J23" s="16"/>
      <c r="K23" s="16"/>
    </row>
    <row r="24" spans="1:11" x14ac:dyDescent="0.2">
      <c r="A24" s="16" t="s">
        <v>11</v>
      </c>
      <c r="B24" s="16"/>
      <c r="C24" s="19"/>
      <c r="D24" s="20" t="e">
        <v>#REF!</v>
      </c>
      <c r="E24" s="20" t="e">
        <v>#REF!</v>
      </c>
      <c r="F24" s="20">
        <v>2286.1036583312411</v>
      </c>
      <c r="G24" s="20"/>
      <c r="H24" s="20"/>
      <c r="I24" s="16"/>
      <c r="J24" s="16"/>
      <c r="K24" s="16"/>
    </row>
    <row r="25" spans="1:11" x14ac:dyDescent="0.2">
      <c r="A25" s="16" t="s">
        <v>12</v>
      </c>
      <c r="B25" s="16"/>
      <c r="C25" s="19"/>
      <c r="D25" s="20" t="e">
        <v>#REF!</v>
      </c>
      <c r="E25" s="20" t="e">
        <v>#REF!</v>
      </c>
      <c r="F25" s="20">
        <v>34000</v>
      </c>
      <c r="G25" s="20"/>
      <c r="H25" s="20">
        <v>17000</v>
      </c>
      <c r="I25" s="16"/>
      <c r="J25" s="16"/>
      <c r="K25" s="16"/>
    </row>
    <row r="26" spans="1:11" x14ac:dyDescent="0.2">
      <c r="A26" s="16" t="s">
        <v>13</v>
      </c>
      <c r="B26" s="16"/>
      <c r="C26" s="19"/>
      <c r="D26" s="20" t="e">
        <v>#REF!</v>
      </c>
      <c r="E26" s="20" t="e">
        <v>#REF!</v>
      </c>
      <c r="F26" s="20">
        <v>7600</v>
      </c>
      <c r="G26" s="20"/>
      <c r="H26" s="20">
        <v>7600</v>
      </c>
      <c r="I26" s="16"/>
      <c r="J26" s="16"/>
      <c r="K26" s="16"/>
    </row>
    <row r="27" spans="1:11" x14ac:dyDescent="0.2">
      <c r="A27" s="16" t="s">
        <v>14</v>
      </c>
      <c r="B27" s="16"/>
      <c r="C27" s="19"/>
      <c r="D27" s="20" t="e">
        <v>#REF!</v>
      </c>
      <c r="E27" s="20" t="e">
        <v>#REF!</v>
      </c>
      <c r="F27" s="20">
        <v>5900</v>
      </c>
      <c r="G27" s="20"/>
      <c r="H27" s="20">
        <v>5900</v>
      </c>
      <c r="I27" s="16"/>
      <c r="J27" s="16"/>
      <c r="K27" s="16"/>
    </row>
    <row r="28" spans="1:11" x14ac:dyDescent="0.2">
      <c r="A28" s="16" t="s">
        <v>15</v>
      </c>
      <c r="B28" s="16"/>
      <c r="C28" s="19"/>
      <c r="D28" s="20" t="e">
        <v>#REF!</v>
      </c>
      <c r="E28" s="20" t="e">
        <v>#REF!</v>
      </c>
      <c r="F28" s="20">
        <v>10000</v>
      </c>
      <c r="G28" s="20"/>
      <c r="H28" s="20">
        <v>10000</v>
      </c>
      <c r="I28" s="16"/>
      <c r="J28" s="16"/>
      <c r="K28" s="16"/>
    </row>
    <row r="29" spans="1:11" x14ac:dyDescent="0.2">
      <c r="A29" s="16" t="s">
        <v>16</v>
      </c>
      <c r="B29" s="16"/>
      <c r="C29" s="19"/>
      <c r="D29" s="20" t="e">
        <v>#REF!</v>
      </c>
      <c r="E29" s="20" t="e">
        <v>#REF!</v>
      </c>
      <c r="F29" s="20">
        <v>2000</v>
      </c>
      <c r="G29" s="20"/>
      <c r="H29" s="20">
        <v>2000</v>
      </c>
      <c r="I29" s="16"/>
      <c r="J29" s="16"/>
      <c r="K29" s="16"/>
    </row>
    <row r="30" spans="1:11" x14ac:dyDescent="0.2">
      <c r="A30" s="16" t="s">
        <v>17</v>
      </c>
      <c r="B30" s="16"/>
      <c r="C30" s="19"/>
      <c r="D30" s="20" t="e">
        <v>#REF!</v>
      </c>
      <c r="E30" s="20" t="e">
        <v>#REF!</v>
      </c>
      <c r="F30" s="20">
        <v>17374.647464823531</v>
      </c>
      <c r="G30" s="20"/>
      <c r="H30" s="20">
        <v>17374.647464823531</v>
      </c>
      <c r="I30" s="16"/>
      <c r="J30" s="16"/>
      <c r="K30" s="16"/>
    </row>
    <row r="31" spans="1:11" x14ac:dyDescent="0.2">
      <c r="A31" s="16" t="s">
        <v>56</v>
      </c>
      <c r="B31" s="16"/>
      <c r="C31" s="19"/>
      <c r="D31" s="20" t="e">
        <v>#REF!</v>
      </c>
      <c r="E31" s="20" t="e">
        <v>#REF!</v>
      </c>
      <c r="F31" s="20">
        <v>0</v>
      </c>
      <c r="G31" s="20"/>
      <c r="H31" s="20">
        <v>0</v>
      </c>
      <c r="I31" s="16"/>
      <c r="J31" s="16"/>
      <c r="K31" s="16"/>
    </row>
    <row r="32" spans="1:11" x14ac:dyDescent="0.2">
      <c r="A32" s="16" t="s">
        <v>18</v>
      </c>
      <c r="B32" s="16"/>
      <c r="C32" s="19"/>
      <c r="D32" s="20" t="e">
        <v>#REF!</v>
      </c>
      <c r="E32" s="20" t="e">
        <v>#REF!</v>
      </c>
      <c r="F32" s="20">
        <v>24500</v>
      </c>
      <c r="G32" s="20"/>
      <c r="H32" s="20">
        <v>24500</v>
      </c>
      <c r="I32" s="16"/>
      <c r="J32" s="16"/>
      <c r="K32" s="16"/>
    </row>
    <row r="33" spans="1:11" x14ac:dyDescent="0.2">
      <c r="A33" s="16" t="s">
        <v>19</v>
      </c>
      <c r="B33" s="16"/>
      <c r="C33" s="19"/>
      <c r="D33" s="20" t="e">
        <v>#REF!</v>
      </c>
      <c r="E33" s="20" t="e">
        <v>#REF!</v>
      </c>
      <c r="F33" s="20">
        <v>32725.28530541178</v>
      </c>
      <c r="G33" s="20"/>
      <c r="H33" s="20">
        <v>32725.28530541178</v>
      </c>
      <c r="I33" s="16"/>
      <c r="J33" s="16"/>
      <c r="K33" s="16"/>
    </row>
    <row r="34" spans="1:11" x14ac:dyDescent="0.2">
      <c r="A34" s="16" t="s">
        <v>20</v>
      </c>
      <c r="B34" s="16"/>
      <c r="C34" s="19"/>
      <c r="D34" s="20">
        <v>75000</v>
      </c>
      <c r="E34" s="20" t="e">
        <v>#REF!</v>
      </c>
      <c r="F34" s="20">
        <v>67000</v>
      </c>
      <c r="G34" s="20"/>
      <c r="H34" s="20">
        <v>67000</v>
      </c>
      <c r="I34" s="16"/>
      <c r="J34" s="16"/>
      <c r="K34" s="16"/>
    </row>
    <row r="35" spans="1:11" x14ac:dyDescent="0.2">
      <c r="A35" s="16" t="s">
        <v>21</v>
      </c>
      <c r="B35" s="16"/>
      <c r="C35" s="19"/>
      <c r="D35" s="20">
        <v>25000</v>
      </c>
      <c r="E35" s="20" t="e">
        <v>#REF!</v>
      </c>
      <c r="F35" s="20">
        <v>22500</v>
      </c>
      <c r="G35" s="20"/>
      <c r="H35" s="20">
        <v>22500</v>
      </c>
      <c r="I35" s="16"/>
      <c r="J35" s="16"/>
      <c r="K35" s="16"/>
    </row>
    <row r="36" spans="1:11" x14ac:dyDescent="0.2">
      <c r="A36" s="34" t="s">
        <v>133</v>
      </c>
      <c r="B36" s="16"/>
      <c r="C36" s="19"/>
      <c r="D36" s="20"/>
      <c r="E36" s="20"/>
      <c r="F36" s="20">
        <v>80000</v>
      </c>
      <c r="G36" s="20"/>
      <c r="H36" s="20">
        <v>80000</v>
      </c>
      <c r="I36" s="16"/>
      <c r="J36" s="16"/>
      <c r="K36" s="16"/>
    </row>
    <row r="37" spans="1:11" x14ac:dyDescent="0.2">
      <c r="A37" s="16" t="s">
        <v>117</v>
      </c>
      <c r="B37" s="16"/>
      <c r="C37" s="21"/>
      <c r="D37" s="22" t="e">
        <v>#REF!</v>
      </c>
      <c r="E37" s="22" t="e">
        <v>#REF!</v>
      </c>
      <c r="F37" s="22">
        <v>98000</v>
      </c>
      <c r="G37" s="20"/>
      <c r="H37" s="20"/>
      <c r="I37" s="16"/>
      <c r="J37" s="16"/>
      <c r="K37" s="16"/>
    </row>
    <row r="38" spans="1:11" x14ac:dyDescent="0.2">
      <c r="A38" s="16" t="s">
        <v>22</v>
      </c>
      <c r="B38" s="16"/>
      <c r="C38" s="21"/>
      <c r="D38" s="22" t="e">
        <v>#REF!</v>
      </c>
      <c r="E38" s="22" t="e">
        <v>#REF!</v>
      </c>
      <c r="F38" s="22">
        <v>867041.78799468488</v>
      </c>
      <c r="G38" s="20"/>
      <c r="H38" s="20">
        <v>867041.78799468488</v>
      </c>
      <c r="I38" s="16"/>
      <c r="J38" s="16"/>
      <c r="K38" s="16"/>
    </row>
    <row r="39" spans="1:11" x14ac:dyDescent="0.2">
      <c r="A39" s="16" t="s">
        <v>58</v>
      </c>
      <c r="B39" s="16"/>
      <c r="C39" s="21"/>
      <c r="D39" s="22"/>
      <c r="E39" s="22"/>
      <c r="F39" s="22"/>
      <c r="G39" s="20"/>
      <c r="H39" s="20">
        <v>0</v>
      </c>
      <c r="I39" s="16"/>
      <c r="J39" s="16"/>
      <c r="K39" s="16"/>
    </row>
    <row r="40" spans="1:11" x14ac:dyDescent="0.2">
      <c r="A40" s="16" t="s">
        <v>59</v>
      </c>
      <c r="B40" s="16"/>
      <c r="C40" s="21"/>
      <c r="D40" s="23"/>
      <c r="E40" s="23"/>
      <c r="F40" s="20">
        <v>115080.9232</v>
      </c>
      <c r="G40" s="20"/>
      <c r="H40" s="20">
        <v>0</v>
      </c>
      <c r="I40" s="16"/>
      <c r="J40" s="16"/>
      <c r="K40" s="16"/>
    </row>
    <row r="41" spans="1:11" x14ac:dyDescent="0.2">
      <c r="A41" s="16" t="s">
        <v>60</v>
      </c>
      <c r="B41" s="16"/>
      <c r="C41" s="21"/>
      <c r="D41" s="23"/>
      <c r="E41" s="23"/>
      <c r="F41" s="20">
        <v>80000</v>
      </c>
      <c r="G41" s="20"/>
      <c r="H41" s="20">
        <v>0</v>
      </c>
      <c r="I41" s="16"/>
      <c r="J41" s="16"/>
      <c r="K41" s="16"/>
    </row>
    <row r="42" spans="1:11" x14ac:dyDescent="0.2">
      <c r="A42" s="16" t="s">
        <v>61</v>
      </c>
      <c r="B42" s="16"/>
      <c r="C42" s="21"/>
      <c r="D42" s="23"/>
      <c r="E42" s="23"/>
      <c r="F42" s="20">
        <v>0</v>
      </c>
      <c r="G42" s="20"/>
      <c r="H42" s="20">
        <v>0</v>
      </c>
      <c r="I42" s="16"/>
      <c r="J42" s="16"/>
      <c r="K42" s="16"/>
    </row>
    <row r="43" spans="1:11" x14ac:dyDescent="0.2">
      <c r="A43" s="16" t="s">
        <v>62</v>
      </c>
      <c r="B43" s="16"/>
      <c r="C43" s="21"/>
      <c r="D43" s="23"/>
      <c r="E43" s="23"/>
      <c r="F43" s="20">
        <v>5000</v>
      </c>
      <c r="G43" s="20"/>
      <c r="H43" s="20">
        <v>5000</v>
      </c>
      <c r="I43" s="16"/>
      <c r="J43" s="16"/>
      <c r="K43" s="16"/>
    </row>
    <row r="44" spans="1:11" x14ac:dyDescent="0.2">
      <c r="A44" s="16" t="s">
        <v>93</v>
      </c>
      <c r="B44" s="16"/>
      <c r="C44" s="16"/>
      <c r="D44" s="16"/>
      <c r="E44" s="20" t="e">
        <v>#REF!</v>
      </c>
      <c r="F44" s="20">
        <v>25000</v>
      </c>
      <c r="G44" s="20"/>
      <c r="H44" s="20">
        <v>25000</v>
      </c>
      <c r="I44" s="16"/>
      <c r="J44" s="16"/>
      <c r="K44" s="16"/>
    </row>
    <row r="45" spans="1:11" ht="15" x14ac:dyDescent="0.35">
      <c r="A45" s="16" t="s">
        <v>94</v>
      </c>
      <c r="B45" s="16"/>
      <c r="C45" s="16"/>
      <c r="D45" s="16"/>
      <c r="E45" s="20"/>
      <c r="F45" s="27">
        <v>0</v>
      </c>
      <c r="G45" s="20"/>
      <c r="H45" s="20">
        <v>0</v>
      </c>
      <c r="I45" s="16"/>
      <c r="J45" s="16"/>
      <c r="K45" s="16"/>
    </row>
    <row r="46" spans="1:11" ht="15" x14ac:dyDescent="0.35">
      <c r="A46" s="16" t="s">
        <v>23</v>
      </c>
      <c r="B46" s="16"/>
      <c r="C46" s="24"/>
      <c r="D46" s="25" t="e">
        <v>#REF!</v>
      </c>
      <c r="E46" s="25" t="e">
        <v>#REF!</v>
      </c>
      <c r="F46" s="25">
        <v>7019303.9244645583</v>
      </c>
      <c r="G46" s="20">
        <v>1182600</v>
      </c>
      <c r="H46" s="20">
        <v>5386078.5866312329</v>
      </c>
      <c r="I46" s="16"/>
      <c r="J46" s="16"/>
      <c r="K46" s="16"/>
    </row>
    <row r="47" spans="1:11" ht="15" x14ac:dyDescent="0.35">
      <c r="A47" s="16"/>
      <c r="B47" s="16"/>
      <c r="C47" s="24"/>
      <c r="D47" s="25"/>
      <c r="E47" s="25"/>
      <c r="F47" s="25"/>
      <c r="G47" s="20"/>
      <c r="H47" s="20"/>
      <c r="I47" s="16"/>
      <c r="J47" s="16"/>
      <c r="K47" s="16"/>
    </row>
    <row r="48" spans="1:11" ht="15" x14ac:dyDescent="0.35">
      <c r="A48" s="16" t="s">
        <v>118</v>
      </c>
      <c r="B48" s="16"/>
      <c r="C48" s="24"/>
      <c r="D48" s="25"/>
      <c r="E48" s="25"/>
      <c r="F48" s="25"/>
      <c r="G48" s="30">
        <v>3.2399999999999998E-2</v>
      </c>
      <c r="H48" s="30">
        <v>7.5600000000000001E-2</v>
      </c>
      <c r="I48" s="16"/>
      <c r="J48" s="16"/>
      <c r="K48" s="16"/>
    </row>
    <row r="49" spans="1:11" ht="15" x14ac:dyDescent="0.35">
      <c r="A49" s="16"/>
      <c r="B49" s="16"/>
      <c r="C49" s="24"/>
      <c r="D49" s="25"/>
      <c r="E49" s="25"/>
      <c r="F49" s="25"/>
      <c r="G49" s="16"/>
      <c r="H49" s="16"/>
      <c r="I49" s="16"/>
      <c r="J49" s="16"/>
      <c r="K49" s="16"/>
    </row>
    <row r="50" spans="1:11" ht="15" x14ac:dyDescent="0.35">
      <c r="A50" s="16" t="s">
        <v>119</v>
      </c>
      <c r="B50" s="16"/>
      <c r="C50" s="24"/>
      <c r="D50" s="25"/>
      <c r="E50" s="25"/>
      <c r="F50" s="25"/>
      <c r="G50" s="29">
        <v>1.3</v>
      </c>
      <c r="H50" s="29">
        <v>1.3</v>
      </c>
      <c r="I50" s="16"/>
      <c r="J50" s="16"/>
      <c r="K50" s="16"/>
    </row>
    <row r="51" spans="1:11" ht="15" x14ac:dyDescent="0.35">
      <c r="A51" s="16"/>
      <c r="B51" s="16"/>
      <c r="C51" s="24"/>
      <c r="D51" s="25"/>
      <c r="E51" s="25"/>
      <c r="F51" s="25"/>
      <c r="G51" s="16"/>
      <c r="H51" s="16"/>
      <c r="I51" s="16"/>
      <c r="J51" s="16"/>
      <c r="K51" s="16"/>
    </row>
    <row r="52" spans="1:11" ht="15" x14ac:dyDescent="0.35">
      <c r="A52" s="16" t="s">
        <v>109</v>
      </c>
      <c r="B52" s="16"/>
      <c r="C52" s="24"/>
      <c r="D52" s="25"/>
      <c r="E52" s="25"/>
      <c r="F52" s="25"/>
      <c r="G52" s="20">
        <v>498111.12</v>
      </c>
      <c r="H52" s="20">
        <v>5293438.034941176</v>
      </c>
      <c r="I52" s="16"/>
      <c r="J52" s="16"/>
      <c r="K52" s="16"/>
    </row>
    <row r="53" spans="1:11" x14ac:dyDescent="0.2">
      <c r="A53" s="16"/>
      <c r="B53" s="16"/>
      <c r="C53" s="19"/>
      <c r="D53" s="16"/>
      <c r="E53" s="16"/>
      <c r="F53" s="16"/>
      <c r="G53" s="16"/>
      <c r="H53" s="16"/>
      <c r="I53" s="16"/>
      <c r="J53" s="16"/>
      <c r="K53" s="16"/>
    </row>
    <row r="54" spans="1:11" x14ac:dyDescent="0.2">
      <c r="A54" s="16"/>
      <c r="B54" s="16"/>
      <c r="C54" s="16"/>
      <c r="D54" s="16"/>
      <c r="E54" s="16"/>
      <c r="F54" s="26"/>
      <c r="G54" s="16"/>
      <c r="H54" s="16"/>
      <c r="I54" s="16"/>
      <c r="J54" s="16"/>
      <c r="K54" s="16"/>
    </row>
    <row r="55" spans="1:11" x14ac:dyDescent="0.2">
      <c r="A55" s="16" t="s">
        <v>36</v>
      </c>
      <c r="B55" s="16"/>
      <c r="C55" s="20"/>
      <c r="D55" s="20" t="e">
        <v>#REF!</v>
      </c>
      <c r="E55" s="20" t="e">
        <v>#REF!</v>
      </c>
      <c r="F55" s="20">
        <v>475000</v>
      </c>
      <c r="G55" s="16" t="s">
        <v>127</v>
      </c>
      <c r="H55" s="16"/>
      <c r="I55" s="16" t="s">
        <v>115</v>
      </c>
      <c r="J55" s="20">
        <v>170155.57503161396</v>
      </c>
      <c r="K55" s="16"/>
    </row>
    <row r="56" spans="1:11" x14ac:dyDescent="0.2">
      <c r="A56" s="16" t="s">
        <v>132</v>
      </c>
      <c r="B56" s="16"/>
      <c r="C56" s="20"/>
      <c r="D56" s="20"/>
      <c r="E56" s="20"/>
      <c r="F56" s="20">
        <v>0</v>
      </c>
      <c r="G56" s="16"/>
      <c r="H56" s="16"/>
      <c r="I56" s="16"/>
      <c r="J56" s="20"/>
      <c r="K56" s="16"/>
    </row>
    <row r="57" spans="1:11" x14ac:dyDescent="0.2">
      <c r="A57" s="16" t="s">
        <v>57</v>
      </c>
      <c r="B57" s="16"/>
      <c r="C57" s="20"/>
      <c r="D57" s="20" t="e">
        <v>#REF!</v>
      </c>
      <c r="E57" s="20" t="e">
        <v>#REF!</v>
      </c>
      <c r="F57" s="20">
        <v>228610.36583312409</v>
      </c>
      <c r="G57" s="16"/>
      <c r="H57" s="16"/>
      <c r="I57" s="16" t="s">
        <v>130</v>
      </c>
      <c r="J57" s="20">
        <v>73185.193561984503</v>
      </c>
      <c r="K57" s="16"/>
    </row>
    <row r="58" spans="1:11" x14ac:dyDescent="0.2">
      <c r="A58" s="16" t="s">
        <v>50</v>
      </c>
      <c r="B58" s="16"/>
      <c r="C58" s="20"/>
      <c r="D58" s="20" t="e">
        <v>#REF!</v>
      </c>
      <c r="E58" s="20" t="e">
        <v>#REF!</v>
      </c>
      <c r="F58" s="20">
        <v>750000</v>
      </c>
      <c r="G58" s="16"/>
      <c r="H58" s="16"/>
      <c r="I58" s="16"/>
      <c r="J58" s="16"/>
      <c r="K58" s="16"/>
    </row>
    <row r="59" spans="1:11" x14ac:dyDescent="0.2">
      <c r="A59" s="16" t="s">
        <v>91</v>
      </c>
      <c r="B59" s="16"/>
      <c r="C59" s="20"/>
      <c r="D59" s="20"/>
      <c r="E59" s="20"/>
      <c r="F59" s="20">
        <v>5467087.8245114898</v>
      </c>
      <c r="G59" s="16">
        <v>0.94397676308196987</v>
      </c>
      <c r="H59" s="16"/>
      <c r="I59" s="16"/>
      <c r="J59" s="16"/>
      <c r="K59" s="16"/>
    </row>
    <row r="60" spans="1:11" ht="15" x14ac:dyDescent="0.35">
      <c r="A60" s="16" t="s">
        <v>51</v>
      </c>
      <c r="B60" s="16"/>
      <c r="C60" s="27"/>
      <c r="D60" s="27" t="e">
        <v>#REF!</v>
      </c>
      <c r="E60" s="20" t="e">
        <v>#REF!</v>
      </c>
      <c r="F60" s="20"/>
      <c r="G60" s="16"/>
      <c r="H60" s="16"/>
      <c r="I60" s="16"/>
      <c r="J60" s="16"/>
      <c r="K60" s="16"/>
    </row>
    <row r="61" spans="1:11" ht="15" x14ac:dyDescent="0.35">
      <c r="A61" s="16" t="s">
        <v>97</v>
      </c>
      <c r="B61" s="16"/>
      <c r="C61" s="27"/>
      <c r="D61" s="27"/>
      <c r="E61" s="20"/>
      <c r="F61" s="20">
        <v>0</v>
      </c>
      <c r="G61" s="16"/>
      <c r="H61" s="16"/>
      <c r="I61" s="16"/>
      <c r="J61" s="16"/>
      <c r="K61" s="16"/>
    </row>
    <row r="62" spans="1:11" ht="15" x14ac:dyDescent="0.35">
      <c r="A62" s="16" t="s">
        <v>100</v>
      </c>
      <c r="B62" s="16"/>
      <c r="C62" s="27"/>
      <c r="D62" s="27"/>
      <c r="E62" s="20"/>
      <c r="F62" s="20"/>
      <c r="G62" s="16"/>
      <c r="H62" s="16"/>
      <c r="I62" s="16"/>
      <c r="J62" s="16"/>
      <c r="K62" s="16"/>
    </row>
    <row r="63" spans="1:11" x14ac:dyDescent="0.2">
      <c r="A63" s="16" t="s">
        <v>51</v>
      </c>
      <c r="B63" s="16"/>
      <c r="C63" s="20"/>
      <c r="D63" s="20"/>
      <c r="E63" s="20"/>
      <c r="F63" s="20">
        <v>216760.44699867122</v>
      </c>
      <c r="G63" s="16"/>
      <c r="H63" s="16"/>
      <c r="I63" s="16"/>
      <c r="J63" s="16"/>
      <c r="K63" s="16"/>
    </row>
    <row r="64" spans="1:11" x14ac:dyDescent="0.2">
      <c r="A64" s="16" t="s">
        <v>52</v>
      </c>
      <c r="B64" s="16"/>
      <c r="C64" s="20"/>
      <c r="D64" s="20" t="e">
        <v>#REF!</v>
      </c>
      <c r="E64" s="20" t="e">
        <v>#REF!</v>
      </c>
      <c r="F64" s="20">
        <v>7137458.6373432856</v>
      </c>
      <c r="G64" s="16"/>
      <c r="H64" s="16"/>
      <c r="I64" s="16"/>
      <c r="J64" s="16"/>
      <c r="K64" s="16"/>
    </row>
    <row r="65" spans="1:11" x14ac:dyDescent="0.2">
      <c r="A65" s="16"/>
      <c r="B65" s="16"/>
      <c r="C65" s="20"/>
      <c r="D65" s="20"/>
      <c r="E65" s="20"/>
      <c r="F65" s="20"/>
      <c r="G65" s="16"/>
      <c r="H65" s="16"/>
      <c r="I65" s="16"/>
      <c r="J65" s="16"/>
      <c r="K65" s="16"/>
    </row>
    <row r="66" spans="1:11" x14ac:dyDescent="0.2">
      <c r="A66" s="16" t="s">
        <v>53</v>
      </c>
      <c r="B66" s="16"/>
      <c r="C66" s="20"/>
      <c r="D66" s="20" t="e">
        <v>#REF!</v>
      </c>
      <c r="E66" s="20" t="e">
        <v>#REF!</v>
      </c>
      <c r="F66" s="20"/>
      <c r="G66" s="16"/>
      <c r="H66" s="16"/>
      <c r="I66" s="16"/>
      <c r="J66" s="16"/>
      <c r="K66" s="16"/>
    </row>
    <row r="67" spans="1:11" x14ac:dyDescent="0.2">
      <c r="A67" s="16"/>
      <c r="B67" s="16"/>
      <c r="C67" s="20"/>
      <c r="D67" s="20"/>
      <c r="E67" s="20"/>
      <c r="F67" s="20"/>
      <c r="G67" s="16"/>
      <c r="H67" s="16"/>
      <c r="I67" s="16"/>
      <c r="J67" s="16"/>
      <c r="K67" s="16"/>
    </row>
    <row r="68" spans="1:11" x14ac:dyDescent="0.2">
      <c r="A68" s="16" t="s">
        <v>54</v>
      </c>
      <c r="B68" s="16"/>
      <c r="C68" s="20"/>
      <c r="D68" s="20" t="e">
        <v>#REF!</v>
      </c>
      <c r="E68" s="20"/>
      <c r="F68" s="20"/>
      <c r="G68" s="16"/>
      <c r="H68" s="16"/>
      <c r="I68" s="16"/>
      <c r="J68" s="16"/>
      <c r="K68" s="16"/>
    </row>
    <row r="69" spans="1:11" x14ac:dyDescent="0.2">
      <c r="A69" s="16" t="s">
        <v>55</v>
      </c>
      <c r="B69" s="16"/>
      <c r="C69" s="28"/>
      <c r="D69" s="16">
        <v>0.85</v>
      </c>
      <c r="E69" s="16"/>
      <c r="F69" s="16"/>
      <c r="G69" s="16"/>
      <c r="H69" s="16"/>
      <c r="I69" s="16"/>
      <c r="J69" s="16"/>
      <c r="K69" s="16"/>
    </row>
    <row r="70" spans="1:11" x14ac:dyDescent="0.2">
      <c r="A70" s="16" t="s">
        <v>128</v>
      </c>
      <c r="B70" s="16"/>
      <c r="C70" s="16"/>
      <c r="D70" s="16"/>
      <c r="E70" s="16"/>
      <c r="F70" s="26">
        <v>118154.71287872735</v>
      </c>
      <c r="G70" s="16"/>
      <c r="H70" s="16"/>
      <c r="I70" s="16"/>
      <c r="J70" s="16"/>
      <c r="K70" s="16"/>
    </row>
    <row r="71" spans="1:1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x14ac:dyDescent="0.2">
      <c r="A72" s="16" t="s">
        <v>112</v>
      </c>
      <c r="B72" s="16"/>
      <c r="C72" s="16"/>
      <c r="D72" s="16"/>
      <c r="E72" s="16"/>
      <c r="F72" s="26">
        <v>7019303.9244645583</v>
      </c>
      <c r="G72" s="16"/>
      <c r="H72" s="16"/>
      <c r="I72" s="16"/>
      <c r="J72" s="16"/>
      <c r="K72" s="16"/>
    </row>
    <row r="73" spans="1:11" ht="15" x14ac:dyDescent="0.35">
      <c r="A73" s="16" t="s">
        <v>113</v>
      </c>
      <c r="B73" s="16"/>
      <c r="C73" s="16"/>
      <c r="D73" s="16"/>
      <c r="E73" s="16"/>
      <c r="F73" s="31">
        <v>-213080.92320000002</v>
      </c>
      <c r="G73" s="16"/>
      <c r="H73" s="16"/>
      <c r="I73" s="16"/>
      <c r="J73" s="16"/>
      <c r="K73" s="16"/>
    </row>
    <row r="74" spans="1:11" x14ac:dyDescent="0.2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x14ac:dyDescent="0.2">
      <c r="A75" s="16" t="s">
        <v>114</v>
      </c>
      <c r="B75" s="16"/>
      <c r="C75" s="16"/>
      <c r="D75" s="16"/>
      <c r="E75" s="16"/>
      <c r="F75" s="26">
        <v>6806223.0012645582</v>
      </c>
      <c r="G75" s="16"/>
      <c r="H75" s="16"/>
      <c r="I75" s="16"/>
      <c r="J75" s="16"/>
      <c r="K75" s="16"/>
    </row>
    <row r="76" spans="1:1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x14ac:dyDescent="0.2">
      <c r="A77" s="16" t="s">
        <v>115</v>
      </c>
      <c r="B77" s="16"/>
      <c r="C77" s="16"/>
      <c r="D77" s="16"/>
      <c r="E77" s="16"/>
      <c r="F77" s="20">
        <v>170155.57503161396</v>
      </c>
      <c r="G77" s="16"/>
      <c r="H77" s="16"/>
      <c r="I77" s="16"/>
      <c r="J77" s="16"/>
      <c r="K77" s="16"/>
    </row>
    <row r="78" spans="1:1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x14ac:dyDescent="0.2">
      <c r="A80" s="16" t="s">
        <v>120</v>
      </c>
      <c r="B80" s="16"/>
      <c r="C80" s="16"/>
      <c r="D80" s="16"/>
      <c r="E80" s="16"/>
      <c r="F80" s="20">
        <v>16037.201190184805</v>
      </c>
      <c r="G80" s="16"/>
      <c r="H80" s="16"/>
      <c r="I80" s="16"/>
      <c r="J80" s="16"/>
      <c r="K80" s="16"/>
    </row>
    <row r="81" spans="1:1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x14ac:dyDescent="0.2">
      <c r="A82" s="16" t="s">
        <v>41</v>
      </c>
      <c r="B82" s="16"/>
      <c r="C82" s="16"/>
      <c r="D82" s="16"/>
      <c r="E82" s="16"/>
      <c r="F82" s="30">
        <v>0.05</v>
      </c>
      <c r="G82" s="16"/>
      <c r="H82" s="16"/>
      <c r="I82" s="16"/>
      <c r="J82" s="16"/>
      <c r="K82" s="16"/>
    </row>
    <row r="83" spans="1:11" x14ac:dyDescent="0.2">
      <c r="A83" s="16" t="s">
        <v>121</v>
      </c>
      <c r="B83" s="16"/>
      <c r="C83" s="16"/>
      <c r="D83" s="16"/>
      <c r="E83" s="16"/>
      <c r="F83" s="16">
        <v>15</v>
      </c>
      <c r="G83" s="16"/>
      <c r="H83" s="16"/>
      <c r="I83" s="16"/>
      <c r="J83" s="16"/>
      <c r="K83" s="16"/>
    </row>
    <row r="84" spans="1:11" x14ac:dyDescent="0.2">
      <c r="A84" s="16" t="s">
        <v>122</v>
      </c>
      <c r="B84" s="16"/>
      <c r="C84" s="16"/>
      <c r="D84" s="16"/>
      <c r="E84" s="16"/>
      <c r="F84" s="16">
        <v>25</v>
      </c>
      <c r="G84" s="16"/>
      <c r="H84" s="16"/>
      <c r="I84" s="16"/>
      <c r="J84" s="16"/>
      <c r="K84" s="16"/>
    </row>
    <row r="85" spans="1:1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x14ac:dyDescent="0.2">
      <c r="A86" s="16" t="s">
        <v>111</v>
      </c>
      <c r="B86" s="16"/>
      <c r="C86" s="16"/>
      <c r="D86" s="16"/>
      <c r="E86" s="16"/>
      <c r="F86" s="20">
        <v>228610.36583312409</v>
      </c>
      <c r="G86" s="16"/>
      <c r="H86" s="16"/>
      <c r="I86" s="16"/>
      <c r="J86" s="16"/>
      <c r="K86" s="16"/>
    </row>
    <row r="87" spans="1:11" x14ac:dyDescent="0.2">
      <c r="A87" s="16" t="s">
        <v>123</v>
      </c>
      <c r="B87" s="16"/>
      <c r="C87" s="16"/>
      <c r="D87" s="16"/>
      <c r="E87" s="16"/>
      <c r="F87" s="20">
        <v>4665.5176700637567</v>
      </c>
      <c r="G87" s="16"/>
      <c r="H87" s="16"/>
      <c r="I87" s="16"/>
      <c r="J87" s="16"/>
      <c r="K87" s="16"/>
    </row>
    <row r="88" spans="1:1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x14ac:dyDescent="0.2">
      <c r="A89" s="16" t="s">
        <v>110</v>
      </c>
      <c r="B89" s="16"/>
      <c r="C89" s="16"/>
      <c r="D89" s="16"/>
      <c r="E89" s="16"/>
      <c r="F89" s="20">
        <v>16037.201190184805</v>
      </c>
      <c r="G89" s="16"/>
      <c r="H89" s="16"/>
      <c r="I89" s="16"/>
      <c r="J89" s="16"/>
      <c r="K89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8"/>
  <sheetViews>
    <sheetView zoomScaleNormal="100" workbookViewId="0">
      <selection activeCell="C10" sqref="C10"/>
    </sheetView>
  </sheetViews>
  <sheetFormatPr defaultRowHeight="12.75" x14ac:dyDescent="0.2"/>
  <cols>
    <col min="1" max="1" width="54.7109375" customWidth="1"/>
    <col min="2" max="2" width="14.5703125" customWidth="1"/>
    <col min="3" max="3" width="14" customWidth="1"/>
    <col min="4" max="4" width="12.5703125" style="3" customWidth="1"/>
    <col min="5" max="5" width="42.5703125" style="60" customWidth="1"/>
    <col min="6" max="6" width="12.28515625" bestFit="1" customWidth="1"/>
  </cols>
  <sheetData>
    <row r="1" spans="1:7" x14ac:dyDescent="0.2">
      <c r="A1" s="1" t="str">
        <f>+SUMMARY!B1</f>
        <v>MVHO - TINY HOME COMMUNITY</v>
      </c>
      <c r="B1" s="1"/>
      <c r="C1" s="1"/>
    </row>
    <row r="2" spans="1:7" x14ac:dyDescent="0.2">
      <c r="A2" s="1" t="s">
        <v>24</v>
      </c>
      <c r="B2" s="1"/>
      <c r="C2" s="1"/>
    </row>
    <row r="3" spans="1:7" x14ac:dyDescent="0.2">
      <c r="A3" s="1" t="str">
        <f>+SUMMARY!B3</f>
        <v>SEPTEMBER 12, 2023</v>
      </c>
      <c r="B3" s="1"/>
      <c r="C3" s="1"/>
    </row>
    <row r="6" spans="1:7" x14ac:dyDescent="0.2">
      <c r="A6" s="63"/>
      <c r="B6" s="63"/>
      <c r="C6" s="6"/>
    </row>
    <row r="7" spans="1:7" x14ac:dyDescent="0.2">
      <c r="C7" s="6"/>
      <c r="D7" s="61"/>
    </row>
    <row r="8" spans="1:7" x14ac:dyDescent="0.2">
      <c r="A8" s="63" t="s">
        <v>650</v>
      </c>
      <c r="B8" s="16">
        <v>22</v>
      </c>
      <c r="C8" s="20">
        <v>51883</v>
      </c>
      <c r="D8" s="41">
        <f>+C8*B8*1.25</f>
        <v>1426782.5</v>
      </c>
      <c r="E8" s="130" t="s">
        <v>659</v>
      </c>
    </row>
    <row r="9" spans="1:7" x14ac:dyDescent="0.2">
      <c r="A9" s="63" t="s">
        <v>649</v>
      </c>
      <c r="B9" s="16">
        <v>3</v>
      </c>
      <c r="C9" s="20">
        <f>+C8*1.7</f>
        <v>88201.099999999991</v>
      </c>
      <c r="D9" s="41">
        <f>+C9*B9*1.25</f>
        <v>330754.125</v>
      </c>
      <c r="E9" s="130" t="s">
        <v>659</v>
      </c>
    </row>
    <row r="10" spans="1:7" x14ac:dyDescent="0.2">
      <c r="A10" s="63" t="s">
        <v>643</v>
      </c>
      <c r="B10" s="16"/>
      <c r="C10" s="20">
        <v>22500</v>
      </c>
      <c r="D10" s="41">
        <f>+C10*SUMMARY!D5</f>
        <v>562500</v>
      </c>
      <c r="E10" s="130"/>
    </row>
    <row r="11" spans="1:7" x14ac:dyDescent="0.2">
      <c r="A11" s="63" t="s">
        <v>642</v>
      </c>
      <c r="B11" s="16"/>
      <c r="C11" s="20"/>
      <c r="D11" s="41">
        <v>1250000</v>
      </c>
      <c r="E11" s="93"/>
      <c r="F11" s="8"/>
      <c r="G11" s="63"/>
    </row>
    <row r="12" spans="1:7" x14ac:dyDescent="0.2">
      <c r="A12" s="16" t="s">
        <v>136</v>
      </c>
      <c r="B12" s="16"/>
      <c r="C12" s="20">
        <v>27500</v>
      </c>
      <c r="D12" s="41">
        <f>+C12*SUMMARY!D5*1.25</f>
        <v>859375</v>
      </c>
      <c r="E12" s="130" t="s">
        <v>659</v>
      </c>
      <c r="F12" s="8"/>
    </row>
    <row r="13" spans="1:7" x14ac:dyDescent="0.2">
      <c r="A13" s="16" t="s">
        <v>2</v>
      </c>
      <c r="B13" s="16"/>
      <c r="C13" s="20"/>
      <c r="D13" s="41">
        <f ca="1">+(+D$11+D$12+D$13)*E13</f>
        <v>183423.91304347824</v>
      </c>
      <c r="E13" s="35">
        <v>0.08</v>
      </c>
      <c r="F13" s="8"/>
    </row>
    <row r="14" spans="1:7" x14ac:dyDescent="0.2">
      <c r="A14" s="16" t="s">
        <v>200</v>
      </c>
      <c r="B14" s="16"/>
      <c r="C14" s="20"/>
      <c r="D14" s="41">
        <f t="shared" ref="D14:D15" ca="1" si="0">+(+D$11+D$12+D$13)*E14</f>
        <v>68783.967391304337</v>
      </c>
      <c r="E14" s="35">
        <v>0.03</v>
      </c>
      <c r="F14" s="8"/>
    </row>
    <row r="15" spans="1:7" ht="15" x14ac:dyDescent="0.35">
      <c r="A15" s="16" t="s">
        <v>201</v>
      </c>
      <c r="B15" s="16"/>
      <c r="C15" s="20"/>
      <c r="D15" s="109">
        <f t="shared" ca="1" si="0"/>
        <v>229279.89130434781</v>
      </c>
      <c r="E15" s="35">
        <v>0.1</v>
      </c>
      <c r="F15" s="8"/>
    </row>
    <row r="16" spans="1:7" x14ac:dyDescent="0.2">
      <c r="C16" s="3"/>
    </row>
    <row r="17" spans="1:6" ht="15" x14ac:dyDescent="0.35">
      <c r="A17" t="s">
        <v>25</v>
      </c>
      <c r="C17" s="3"/>
      <c r="D17" s="5">
        <f ca="1">SUM(D8:D16)</f>
        <v>4910899.3967391308</v>
      </c>
      <c r="E17" s="124"/>
    </row>
    <row r="20" spans="1:6" x14ac:dyDescent="0.2">
      <c r="A20" s="1" t="s">
        <v>5</v>
      </c>
      <c r="B20" s="1"/>
      <c r="C20" s="1"/>
      <c r="F20" s="8"/>
    </row>
    <row r="22" spans="1:6" x14ac:dyDescent="0.2">
      <c r="A22" t="s">
        <v>27</v>
      </c>
      <c r="C22" s="3"/>
      <c r="D22" s="41"/>
      <c r="E22" s="93" t="s">
        <v>644</v>
      </c>
    </row>
    <row r="23" spans="1:6" x14ac:dyDescent="0.2">
      <c r="A23" t="s">
        <v>203</v>
      </c>
      <c r="C23" s="3"/>
      <c r="D23" s="41"/>
    </row>
    <row r="24" spans="1:6" x14ac:dyDescent="0.2">
      <c r="A24" t="s">
        <v>26</v>
      </c>
      <c r="C24" s="3"/>
      <c r="D24" s="3">
        <v>15000</v>
      </c>
      <c r="E24" s="93" t="s">
        <v>638</v>
      </c>
    </row>
    <row r="25" spans="1:6" ht="15" x14ac:dyDescent="0.35">
      <c r="A25" t="s">
        <v>28</v>
      </c>
      <c r="C25" s="3"/>
      <c r="D25" s="4"/>
    </row>
    <row r="26" spans="1:6" ht="15" x14ac:dyDescent="0.35">
      <c r="A26" t="s">
        <v>23</v>
      </c>
      <c r="C26" s="3"/>
      <c r="D26" s="5">
        <f>SUM(D22:D25)</f>
        <v>15000</v>
      </c>
    </row>
    <row r="28" spans="1:6" x14ac:dyDescent="0.2">
      <c r="A28" s="1" t="s">
        <v>29</v>
      </c>
      <c r="B28" s="1"/>
      <c r="C28" s="1"/>
    </row>
    <row r="29" spans="1:6" x14ac:dyDescent="0.2">
      <c r="A29" s="1"/>
      <c r="B29" s="1"/>
      <c r="C29" s="1"/>
    </row>
    <row r="30" spans="1:6" x14ac:dyDescent="0.2">
      <c r="A30" s="63" t="s">
        <v>610</v>
      </c>
      <c r="C30" s="3"/>
      <c r="D30" s="3">
        <v>6000</v>
      </c>
      <c r="E30" s="93"/>
    </row>
    <row r="31" spans="1:6" x14ac:dyDescent="0.2">
      <c r="A31" s="63" t="s">
        <v>611</v>
      </c>
      <c r="C31" s="3"/>
      <c r="D31" s="3">
        <v>2500</v>
      </c>
      <c r="E31" s="93"/>
    </row>
    <row r="32" spans="1:6" x14ac:dyDescent="0.2">
      <c r="A32" s="63" t="s">
        <v>532</v>
      </c>
      <c r="C32" s="3"/>
      <c r="D32" s="3">
        <v>0</v>
      </c>
      <c r="E32" s="93"/>
    </row>
    <row r="33" spans="1:5" x14ac:dyDescent="0.2">
      <c r="A33" t="s">
        <v>30</v>
      </c>
      <c r="C33" s="3"/>
      <c r="D33" s="13"/>
      <c r="E33" s="93"/>
    </row>
    <row r="34" spans="1:5" ht="15" x14ac:dyDescent="0.35">
      <c r="A34" t="s">
        <v>32</v>
      </c>
      <c r="C34" s="4"/>
      <c r="D34" s="7">
        <v>500</v>
      </c>
    </row>
    <row r="35" spans="1:5" x14ac:dyDescent="0.2">
      <c r="C35" s="3"/>
      <c r="D35" s="7"/>
    </row>
    <row r="36" spans="1:5" ht="15" x14ac:dyDescent="0.35">
      <c r="A36" t="s">
        <v>23</v>
      </c>
      <c r="C36" s="3"/>
      <c r="D36" s="5">
        <f>SUM(D30:D34)</f>
        <v>9000</v>
      </c>
    </row>
    <row r="38" spans="1:5" x14ac:dyDescent="0.2">
      <c r="A38" s="1" t="s">
        <v>31</v>
      </c>
      <c r="B38" s="1"/>
      <c r="C38" s="1"/>
    </row>
    <row r="39" spans="1:5" x14ac:dyDescent="0.2">
      <c r="A39" s="1"/>
      <c r="B39" s="1"/>
      <c r="C39" s="1"/>
    </row>
    <row r="40" spans="1:5" x14ac:dyDescent="0.2">
      <c r="A40" s="63" t="s">
        <v>596</v>
      </c>
      <c r="E40" s="93" t="s">
        <v>645</v>
      </c>
    </row>
    <row r="41" spans="1:5" x14ac:dyDescent="0.2">
      <c r="A41" s="63" t="s">
        <v>595</v>
      </c>
      <c r="D41" s="3">
        <f>+SUMMARY!D5*145</f>
        <v>3625</v>
      </c>
      <c r="E41" s="93" t="s">
        <v>636</v>
      </c>
    </row>
    <row r="42" spans="1:5" x14ac:dyDescent="0.2">
      <c r="A42" s="63" t="s">
        <v>302</v>
      </c>
    </row>
    <row r="43" spans="1:5" x14ac:dyDescent="0.2">
      <c r="A43" s="63" t="s">
        <v>631</v>
      </c>
      <c r="C43" s="3">
        <v>9300</v>
      </c>
      <c r="E43" s="93"/>
    </row>
    <row r="44" spans="1:5" x14ac:dyDescent="0.2">
      <c r="A44" s="63" t="s">
        <v>302</v>
      </c>
      <c r="C44" s="3">
        <f>5000+24400</f>
        <v>29400</v>
      </c>
      <c r="E44" s="93"/>
    </row>
    <row r="45" spans="1:5" ht="15" x14ac:dyDescent="0.35">
      <c r="A45" s="63" t="s">
        <v>632</v>
      </c>
      <c r="C45" s="4">
        <v>2500</v>
      </c>
      <c r="E45" s="93"/>
    </row>
    <row r="46" spans="1:5" x14ac:dyDescent="0.2">
      <c r="A46" s="63"/>
      <c r="D46" s="3">
        <f>SUM(C43:C45)</f>
        <v>41200</v>
      </c>
      <c r="E46" s="93"/>
    </row>
    <row r="47" spans="1:5" x14ac:dyDescent="0.2">
      <c r="A47" t="s">
        <v>33</v>
      </c>
      <c r="D47" s="3">
        <v>25000</v>
      </c>
      <c r="E47" s="93"/>
    </row>
    <row r="48" spans="1:5" x14ac:dyDescent="0.2">
      <c r="A48" s="63" t="s">
        <v>654</v>
      </c>
      <c r="D48" s="3">
        <v>7500</v>
      </c>
      <c r="E48" s="93"/>
    </row>
    <row r="49" spans="1:5" ht="15" x14ac:dyDescent="0.35">
      <c r="A49" t="s">
        <v>32</v>
      </c>
      <c r="D49" s="4">
        <v>1500</v>
      </c>
    </row>
    <row r="51" spans="1:5" ht="15" x14ac:dyDescent="0.35">
      <c r="A51" t="s">
        <v>23</v>
      </c>
      <c r="D51" s="5">
        <f>SUM(D40:D49)</f>
        <v>78825</v>
      </c>
    </row>
    <row r="54" spans="1:5" x14ac:dyDescent="0.2">
      <c r="A54" s="1" t="s">
        <v>37</v>
      </c>
      <c r="B54" s="1"/>
      <c r="C54" s="1"/>
    </row>
    <row r="55" spans="1:5" x14ac:dyDescent="0.2">
      <c r="A55" s="1"/>
      <c r="B55" s="1"/>
      <c r="C55" s="1"/>
    </row>
    <row r="56" spans="1:5" x14ac:dyDescent="0.2">
      <c r="A56" s="16" t="s">
        <v>131</v>
      </c>
      <c r="B56" s="16"/>
      <c r="C56" s="16"/>
      <c r="D56" s="3">
        <v>3000</v>
      </c>
      <c r="E56" s="93"/>
    </row>
    <row r="57" spans="1:5" x14ac:dyDescent="0.2">
      <c r="A57" s="63" t="s">
        <v>651</v>
      </c>
      <c r="D57" s="3">
        <v>500</v>
      </c>
      <c r="E57" s="108" t="s">
        <v>305</v>
      </c>
    </row>
    <row r="58" spans="1:5" x14ac:dyDescent="0.2">
      <c r="A58" t="s">
        <v>38</v>
      </c>
      <c r="D58" s="3">
        <v>500</v>
      </c>
    </row>
    <row r="59" spans="1:5" x14ac:dyDescent="0.2">
      <c r="A59" t="s">
        <v>39</v>
      </c>
      <c r="D59" s="3">
        <v>500</v>
      </c>
    </row>
    <row r="60" spans="1:5" ht="15" x14ac:dyDescent="0.35">
      <c r="A60" t="s">
        <v>40</v>
      </c>
      <c r="D60" s="4">
        <v>0</v>
      </c>
    </row>
    <row r="62" spans="1:5" ht="15" x14ac:dyDescent="0.35">
      <c r="D62" s="5">
        <f>SUM(D56:D61)</f>
        <v>4500</v>
      </c>
    </row>
    <row r="64" spans="1:5" hidden="1" x14ac:dyDescent="0.2">
      <c r="A64" s="1" t="s">
        <v>42</v>
      </c>
      <c r="B64" s="1"/>
      <c r="C64" s="1"/>
    </row>
    <row r="65" spans="1:5" hidden="1" x14ac:dyDescent="0.2"/>
    <row r="66" spans="1:5" hidden="1" x14ac:dyDescent="0.2">
      <c r="A66" t="s">
        <v>43</v>
      </c>
      <c r="D66" s="3">
        <f ca="1">+D17*0.0021</f>
        <v>10312.888733152175</v>
      </c>
    </row>
    <row r="67" spans="1:5" ht="15" hidden="1" x14ac:dyDescent="0.35">
      <c r="A67" t="s">
        <v>44</v>
      </c>
      <c r="D67" s="4">
        <v>32500</v>
      </c>
    </row>
    <row r="68" spans="1:5" hidden="1" x14ac:dyDescent="0.2"/>
    <row r="69" spans="1:5" ht="15" hidden="1" x14ac:dyDescent="0.35">
      <c r="D69" s="5">
        <f ca="1">SUM(D66:D68)</f>
        <v>42812.888733152176</v>
      </c>
    </row>
    <row r="71" spans="1:5" x14ac:dyDescent="0.2">
      <c r="A71" s="1" t="s">
        <v>45</v>
      </c>
      <c r="B71" s="1"/>
      <c r="C71" s="1"/>
    </row>
    <row r="73" spans="1:5" x14ac:dyDescent="0.2">
      <c r="A73" t="s">
        <v>46</v>
      </c>
      <c r="C73" s="53"/>
      <c r="D73" s="3">
        <v>17312</v>
      </c>
      <c r="E73" s="93" t="s">
        <v>646</v>
      </c>
    </row>
    <row r="74" spans="1:5" x14ac:dyDescent="0.2">
      <c r="A74" t="s">
        <v>47</v>
      </c>
      <c r="D74" s="3">
        <f>+D73*0.15</f>
        <v>2596.7999999999997</v>
      </c>
      <c r="E74" s="93" t="s">
        <v>647</v>
      </c>
    </row>
    <row r="75" spans="1:5" x14ac:dyDescent="0.2">
      <c r="A75" t="s">
        <v>102</v>
      </c>
      <c r="D75" s="3">
        <v>2500</v>
      </c>
      <c r="E75" s="93" t="s">
        <v>264</v>
      </c>
    </row>
    <row r="76" spans="1:5" x14ac:dyDescent="0.2">
      <c r="A76" t="s">
        <v>48</v>
      </c>
      <c r="D76" s="3">
        <v>1500</v>
      </c>
      <c r="E76" s="93" t="s">
        <v>194</v>
      </c>
    </row>
    <row r="77" spans="1:5" ht="15" x14ac:dyDescent="0.35">
      <c r="A77" t="s">
        <v>49</v>
      </c>
      <c r="D77" s="4">
        <v>100</v>
      </c>
      <c r="E77" s="60" t="s">
        <v>96</v>
      </c>
    </row>
    <row r="79" spans="1:5" ht="15" x14ac:dyDescent="0.35">
      <c r="D79" s="5">
        <f>SUM(D73:D78)</f>
        <v>24008.799999999999</v>
      </c>
    </row>
    <row r="83" spans="1:5" x14ac:dyDescent="0.2">
      <c r="A83" s="1" t="s">
        <v>95</v>
      </c>
      <c r="B83" s="1"/>
      <c r="C83" s="1"/>
    </row>
    <row r="84" spans="1:5" x14ac:dyDescent="0.2">
      <c r="A84" s="1"/>
      <c r="B84" s="1"/>
      <c r="C84" s="1"/>
    </row>
    <row r="85" spans="1:5" x14ac:dyDescent="0.2">
      <c r="A85" t="s">
        <v>101</v>
      </c>
      <c r="D85" s="3">
        <v>2500</v>
      </c>
    </row>
    <row r="86" spans="1:5" x14ac:dyDescent="0.2">
      <c r="A86" s="63" t="s">
        <v>307</v>
      </c>
      <c r="D86" s="62">
        <v>60000</v>
      </c>
      <c r="E86" s="60" t="s">
        <v>615</v>
      </c>
    </row>
    <row r="87" spans="1:5" x14ac:dyDescent="0.2">
      <c r="A87" s="63" t="s">
        <v>306</v>
      </c>
      <c r="D87" s="3">
        <v>15000</v>
      </c>
    </row>
    <row r="88" spans="1:5" x14ac:dyDescent="0.2">
      <c r="A88" s="63" t="s">
        <v>614</v>
      </c>
      <c r="B88" s="16"/>
      <c r="C88" s="16"/>
      <c r="D88" s="3">
        <v>0</v>
      </c>
      <c r="E88" s="93"/>
    </row>
    <row r="89" spans="1:5" ht="15" x14ac:dyDescent="0.35">
      <c r="A89" s="63" t="s">
        <v>265</v>
      </c>
      <c r="B89" s="63"/>
      <c r="C89" s="16"/>
      <c r="D89" s="4">
        <v>2500</v>
      </c>
    </row>
    <row r="91" spans="1:5" ht="15" x14ac:dyDescent="0.35">
      <c r="D91" s="5">
        <f>SUM(D85:D90)</f>
        <v>80000</v>
      </c>
    </row>
    <row r="92" spans="1:5" ht="15" x14ac:dyDescent="0.35">
      <c r="D92" s="5"/>
    </row>
    <row r="93" spans="1:5" ht="15" x14ac:dyDescent="0.35">
      <c r="A93" s="1" t="s">
        <v>271</v>
      </c>
      <c r="D93" s="5"/>
    </row>
    <row r="94" spans="1:5" x14ac:dyDescent="0.2">
      <c r="A94" s="63" t="s">
        <v>272</v>
      </c>
      <c r="D94" s="13"/>
    </row>
    <row r="95" spans="1:5" x14ac:dyDescent="0.2">
      <c r="A95" s="63" t="s">
        <v>273</v>
      </c>
      <c r="D95" s="13"/>
    </row>
    <row r="96" spans="1:5" x14ac:dyDescent="0.2">
      <c r="A96" s="63" t="s">
        <v>274</v>
      </c>
      <c r="D96" s="13">
        <v>7500</v>
      </c>
    </row>
    <row r="97" spans="1:4" x14ac:dyDescent="0.2">
      <c r="A97" s="63" t="s">
        <v>275</v>
      </c>
      <c r="D97" s="13">
        <v>7750</v>
      </c>
    </row>
    <row r="98" spans="1:4" ht="15" x14ac:dyDescent="0.35">
      <c r="A98" s="63" t="s">
        <v>616</v>
      </c>
      <c r="D98" s="4"/>
    </row>
    <row r="99" spans="1:4" ht="15" x14ac:dyDescent="0.35">
      <c r="A99" s="63"/>
      <c r="D99" s="5">
        <f>SUM(D94:D98)</f>
        <v>15250</v>
      </c>
    </row>
    <row r="100" spans="1:4" ht="15" x14ac:dyDescent="0.35">
      <c r="D100" s="5"/>
    </row>
    <row r="101" spans="1:4" ht="15" x14ac:dyDescent="0.35">
      <c r="A101" s="63" t="s">
        <v>266</v>
      </c>
      <c r="D101" s="5"/>
    </row>
    <row r="102" spans="1:4" ht="15" x14ac:dyDescent="0.35">
      <c r="A102" s="63" t="s">
        <v>267</v>
      </c>
      <c r="D102" s="5"/>
    </row>
    <row r="103" spans="1:4" ht="15" x14ac:dyDescent="0.35">
      <c r="A103" s="63" t="s">
        <v>268</v>
      </c>
      <c r="D103" s="5"/>
    </row>
    <row r="104" spans="1:4" ht="15" x14ac:dyDescent="0.35">
      <c r="A104" s="63" t="s">
        <v>269</v>
      </c>
      <c r="D104" s="5"/>
    </row>
    <row r="105" spans="1:4" ht="15" x14ac:dyDescent="0.35">
      <c r="A105" s="63"/>
      <c r="D105" s="5">
        <f>SUM(D101:D104)</f>
        <v>0</v>
      </c>
    </row>
    <row r="106" spans="1:4" ht="15" x14ac:dyDescent="0.35">
      <c r="D106" s="5"/>
    </row>
    <row r="107" spans="1:4" x14ac:dyDescent="0.2">
      <c r="B107" s="65"/>
      <c r="C107" s="65"/>
    </row>
    <row r="108" spans="1:4" x14ac:dyDescent="0.2">
      <c r="B108" s="65"/>
      <c r="C108" s="65"/>
    </row>
    <row r="109" spans="1:4" x14ac:dyDescent="0.2">
      <c r="A109" s="63"/>
      <c r="B109" s="63"/>
    </row>
    <row r="110" spans="1:4" x14ac:dyDescent="0.2">
      <c r="A110" s="63"/>
      <c r="B110" s="63"/>
    </row>
    <row r="111" spans="1:4" x14ac:dyDescent="0.2">
      <c r="A111" s="63"/>
    </row>
    <row r="112" spans="1:4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</sheetData>
  <phoneticPr fontId="0" type="noConversion"/>
  <pageMargins left="0.75" right="0.75" top="1" bottom="1" header="0.5" footer="0.5"/>
  <pageSetup scale="65" fitToHeight="2" orientation="portrait" r:id="rId1"/>
  <headerFooter alignWithMargins="0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1"/>
  <sheetViews>
    <sheetView topLeftCell="B55" workbookViewId="0">
      <selection activeCell="G61" sqref="G61"/>
    </sheetView>
  </sheetViews>
  <sheetFormatPr defaultRowHeight="12.75" x14ac:dyDescent="0.2"/>
  <cols>
    <col min="1" max="1" width="0.28515625" hidden="1" customWidth="1"/>
    <col min="2" max="2" width="14.28515625" style="133" customWidth="1"/>
    <col min="3" max="3" width="38.85546875" customWidth="1"/>
    <col min="4" max="7" width="14.7109375" style="134" customWidth="1"/>
    <col min="8" max="9" width="14.7109375" style="158" customWidth="1"/>
    <col min="10" max="10" width="13.5703125" customWidth="1"/>
    <col min="11" max="11" width="10.28515625" bestFit="1" customWidth="1"/>
    <col min="253" max="253" width="0" hidden="1" customWidth="1"/>
    <col min="254" max="254" width="14.28515625" customWidth="1"/>
    <col min="255" max="255" width="38.85546875" customWidth="1"/>
    <col min="256" max="256" width="28.7109375" customWidth="1"/>
    <col min="257" max="259" width="4.7109375" customWidth="1"/>
    <col min="260" max="260" width="14.7109375" customWidth="1"/>
    <col min="261" max="263" width="0" hidden="1" customWidth="1"/>
    <col min="264" max="265" width="14.7109375" customWidth="1"/>
    <col min="509" max="509" width="0" hidden="1" customWidth="1"/>
    <col min="510" max="510" width="14.28515625" customWidth="1"/>
    <col min="511" max="511" width="38.85546875" customWidth="1"/>
    <col min="512" max="512" width="28.7109375" customWidth="1"/>
    <col min="513" max="515" width="4.7109375" customWidth="1"/>
    <col min="516" max="516" width="14.7109375" customWidth="1"/>
    <col min="517" max="519" width="0" hidden="1" customWidth="1"/>
    <col min="520" max="521" width="14.7109375" customWidth="1"/>
    <col min="765" max="765" width="0" hidden="1" customWidth="1"/>
    <col min="766" max="766" width="14.28515625" customWidth="1"/>
    <col min="767" max="767" width="38.85546875" customWidth="1"/>
    <col min="768" max="768" width="28.7109375" customWidth="1"/>
    <col min="769" max="771" width="4.7109375" customWidth="1"/>
    <col min="772" max="772" width="14.7109375" customWidth="1"/>
    <col min="773" max="775" width="0" hidden="1" customWidth="1"/>
    <col min="776" max="777" width="14.7109375" customWidth="1"/>
    <col min="1021" max="1021" width="0" hidden="1" customWidth="1"/>
    <col min="1022" max="1022" width="14.28515625" customWidth="1"/>
    <col min="1023" max="1023" width="38.85546875" customWidth="1"/>
    <col min="1024" max="1024" width="28.7109375" customWidth="1"/>
    <col min="1025" max="1027" width="4.7109375" customWidth="1"/>
    <col min="1028" max="1028" width="14.7109375" customWidth="1"/>
    <col min="1029" max="1031" width="0" hidden="1" customWidth="1"/>
    <col min="1032" max="1033" width="14.7109375" customWidth="1"/>
    <col min="1277" max="1277" width="0" hidden="1" customWidth="1"/>
    <col min="1278" max="1278" width="14.28515625" customWidth="1"/>
    <col min="1279" max="1279" width="38.85546875" customWidth="1"/>
    <col min="1280" max="1280" width="28.7109375" customWidth="1"/>
    <col min="1281" max="1283" width="4.7109375" customWidth="1"/>
    <col min="1284" max="1284" width="14.7109375" customWidth="1"/>
    <col min="1285" max="1287" width="0" hidden="1" customWidth="1"/>
    <col min="1288" max="1289" width="14.7109375" customWidth="1"/>
    <col min="1533" max="1533" width="0" hidden="1" customWidth="1"/>
    <col min="1534" max="1534" width="14.28515625" customWidth="1"/>
    <col min="1535" max="1535" width="38.85546875" customWidth="1"/>
    <col min="1536" max="1536" width="28.7109375" customWidth="1"/>
    <col min="1537" max="1539" width="4.7109375" customWidth="1"/>
    <col min="1540" max="1540" width="14.7109375" customWidth="1"/>
    <col min="1541" max="1543" width="0" hidden="1" customWidth="1"/>
    <col min="1544" max="1545" width="14.7109375" customWidth="1"/>
    <col min="1789" max="1789" width="0" hidden="1" customWidth="1"/>
    <col min="1790" max="1790" width="14.28515625" customWidth="1"/>
    <col min="1791" max="1791" width="38.85546875" customWidth="1"/>
    <col min="1792" max="1792" width="28.7109375" customWidth="1"/>
    <col min="1793" max="1795" width="4.7109375" customWidth="1"/>
    <col min="1796" max="1796" width="14.7109375" customWidth="1"/>
    <col min="1797" max="1799" width="0" hidden="1" customWidth="1"/>
    <col min="1800" max="1801" width="14.7109375" customWidth="1"/>
    <col min="2045" max="2045" width="0" hidden="1" customWidth="1"/>
    <col min="2046" max="2046" width="14.28515625" customWidth="1"/>
    <col min="2047" max="2047" width="38.85546875" customWidth="1"/>
    <col min="2048" max="2048" width="28.7109375" customWidth="1"/>
    <col min="2049" max="2051" width="4.7109375" customWidth="1"/>
    <col min="2052" max="2052" width="14.7109375" customWidth="1"/>
    <col min="2053" max="2055" width="0" hidden="1" customWidth="1"/>
    <col min="2056" max="2057" width="14.7109375" customWidth="1"/>
    <col min="2301" max="2301" width="0" hidden="1" customWidth="1"/>
    <col min="2302" max="2302" width="14.28515625" customWidth="1"/>
    <col min="2303" max="2303" width="38.85546875" customWidth="1"/>
    <col min="2304" max="2304" width="28.7109375" customWidth="1"/>
    <col min="2305" max="2307" width="4.7109375" customWidth="1"/>
    <col min="2308" max="2308" width="14.7109375" customWidth="1"/>
    <col min="2309" max="2311" width="0" hidden="1" customWidth="1"/>
    <col min="2312" max="2313" width="14.7109375" customWidth="1"/>
    <col min="2557" max="2557" width="0" hidden="1" customWidth="1"/>
    <col min="2558" max="2558" width="14.28515625" customWidth="1"/>
    <col min="2559" max="2559" width="38.85546875" customWidth="1"/>
    <col min="2560" max="2560" width="28.7109375" customWidth="1"/>
    <col min="2561" max="2563" width="4.7109375" customWidth="1"/>
    <col min="2564" max="2564" width="14.7109375" customWidth="1"/>
    <col min="2565" max="2567" width="0" hidden="1" customWidth="1"/>
    <col min="2568" max="2569" width="14.7109375" customWidth="1"/>
    <col min="2813" max="2813" width="0" hidden="1" customWidth="1"/>
    <col min="2814" max="2814" width="14.28515625" customWidth="1"/>
    <col min="2815" max="2815" width="38.85546875" customWidth="1"/>
    <col min="2816" max="2816" width="28.7109375" customWidth="1"/>
    <col min="2817" max="2819" width="4.7109375" customWidth="1"/>
    <col min="2820" max="2820" width="14.7109375" customWidth="1"/>
    <col min="2821" max="2823" width="0" hidden="1" customWidth="1"/>
    <col min="2824" max="2825" width="14.7109375" customWidth="1"/>
    <col min="3069" max="3069" width="0" hidden="1" customWidth="1"/>
    <col min="3070" max="3070" width="14.28515625" customWidth="1"/>
    <col min="3071" max="3071" width="38.85546875" customWidth="1"/>
    <col min="3072" max="3072" width="28.7109375" customWidth="1"/>
    <col min="3073" max="3075" width="4.7109375" customWidth="1"/>
    <col min="3076" max="3076" width="14.7109375" customWidth="1"/>
    <col min="3077" max="3079" width="0" hidden="1" customWidth="1"/>
    <col min="3080" max="3081" width="14.7109375" customWidth="1"/>
    <col min="3325" max="3325" width="0" hidden="1" customWidth="1"/>
    <col min="3326" max="3326" width="14.28515625" customWidth="1"/>
    <col min="3327" max="3327" width="38.85546875" customWidth="1"/>
    <col min="3328" max="3328" width="28.7109375" customWidth="1"/>
    <col min="3329" max="3331" width="4.7109375" customWidth="1"/>
    <col min="3332" max="3332" width="14.7109375" customWidth="1"/>
    <col min="3333" max="3335" width="0" hidden="1" customWidth="1"/>
    <col min="3336" max="3337" width="14.7109375" customWidth="1"/>
    <col min="3581" max="3581" width="0" hidden="1" customWidth="1"/>
    <col min="3582" max="3582" width="14.28515625" customWidth="1"/>
    <col min="3583" max="3583" width="38.85546875" customWidth="1"/>
    <col min="3584" max="3584" width="28.7109375" customWidth="1"/>
    <col min="3585" max="3587" width="4.7109375" customWidth="1"/>
    <col min="3588" max="3588" width="14.7109375" customWidth="1"/>
    <col min="3589" max="3591" width="0" hidden="1" customWidth="1"/>
    <col min="3592" max="3593" width="14.7109375" customWidth="1"/>
    <col min="3837" max="3837" width="0" hidden="1" customWidth="1"/>
    <col min="3838" max="3838" width="14.28515625" customWidth="1"/>
    <col min="3839" max="3839" width="38.85546875" customWidth="1"/>
    <col min="3840" max="3840" width="28.7109375" customWidth="1"/>
    <col min="3841" max="3843" width="4.7109375" customWidth="1"/>
    <col min="3844" max="3844" width="14.7109375" customWidth="1"/>
    <col min="3845" max="3847" width="0" hidden="1" customWidth="1"/>
    <col min="3848" max="3849" width="14.7109375" customWidth="1"/>
    <col min="4093" max="4093" width="0" hidden="1" customWidth="1"/>
    <col min="4094" max="4094" width="14.28515625" customWidth="1"/>
    <col min="4095" max="4095" width="38.85546875" customWidth="1"/>
    <col min="4096" max="4096" width="28.7109375" customWidth="1"/>
    <col min="4097" max="4099" width="4.7109375" customWidth="1"/>
    <col min="4100" max="4100" width="14.7109375" customWidth="1"/>
    <col min="4101" max="4103" width="0" hidden="1" customWidth="1"/>
    <col min="4104" max="4105" width="14.7109375" customWidth="1"/>
    <col min="4349" max="4349" width="0" hidden="1" customWidth="1"/>
    <col min="4350" max="4350" width="14.28515625" customWidth="1"/>
    <col min="4351" max="4351" width="38.85546875" customWidth="1"/>
    <col min="4352" max="4352" width="28.7109375" customWidth="1"/>
    <col min="4353" max="4355" width="4.7109375" customWidth="1"/>
    <col min="4356" max="4356" width="14.7109375" customWidth="1"/>
    <col min="4357" max="4359" width="0" hidden="1" customWidth="1"/>
    <col min="4360" max="4361" width="14.7109375" customWidth="1"/>
    <col min="4605" max="4605" width="0" hidden="1" customWidth="1"/>
    <col min="4606" max="4606" width="14.28515625" customWidth="1"/>
    <col min="4607" max="4607" width="38.85546875" customWidth="1"/>
    <col min="4608" max="4608" width="28.7109375" customWidth="1"/>
    <col min="4609" max="4611" width="4.7109375" customWidth="1"/>
    <col min="4612" max="4612" width="14.7109375" customWidth="1"/>
    <col min="4613" max="4615" width="0" hidden="1" customWidth="1"/>
    <col min="4616" max="4617" width="14.7109375" customWidth="1"/>
    <col min="4861" max="4861" width="0" hidden="1" customWidth="1"/>
    <col min="4862" max="4862" width="14.28515625" customWidth="1"/>
    <col min="4863" max="4863" width="38.85546875" customWidth="1"/>
    <col min="4864" max="4864" width="28.7109375" customWidth="1"/>
    <col min="4865" max="4867" width="4.7109375" customWidth="1"/>
    <col min="4868" max="4868" width="14.7109375" customWidth="1"/>
    <col min="4869" max="4871" width="0" hidden="1" customWidth="1"/>
    <col min="4872" max="4873" width="14.7109375" customWidth="1"/>
    <col min="5117" max="5117" width="0" hidden="1" customWidth="1"/>
    <col min="5118" max="5118" width="14.28515625" customWidth="1"/>
    <col min="5119" max="5119" width="38.85546875" customWidth="1"/>
    <col min="5120" max="5120" width="28.7109375" customWidth="1"/>
    <col min="5121" max="5123" width="4.7109375" customWidth="1"/>
    <col min="5124" max="5124" width="14.7109375" customWidth="1"/>
    <col min="5125" max="5127" width="0" hidden="1" customWidth="1"/>
    <col min="5128" max="5129" width="14.7109375" customWidth="1"/>
    <col min="5373" max="5373" width="0" hidden="1" customWidth="1"/>
    <col min="5374" max="5374" width="14.28515625" customWidth="1"/>
    <col min="5375" max="5375" width="38.85546875" customWidth="1"/>
    <col min="5376" max="5376" width="28.7109375" customWidth="1"/>
    <col min="5377" max="5379" width="4.7109375" customWidth="1"/>
    <col min="5380" max="5380" width="14.7109375" customWidth="1"/>
    <col min="5381" max="5383" width="0" hidden="1" customWidth="1"/>
    <col min="5384" max="5385" width="14.7109375" customWidth="1"/>
    <col min="5629" max="5629" width="0" hidden="1" customWidth="1"/>
    <col min="5630" max="5630" width="14.28515625" customWidth="1"/>
    <col min="5631" max="5631" width="38.85546875" customWidth="1"/>
    <col min="5632" max="5632" width="28.7109375" customWidth="1"/>
    <col min="5633" max="5635" width="4.7109375" customWidth="1"/>
    <col min="5636" max="5636" width="14.7109375" customWidth="1"/>
    <col min="5637" max="5639" width="0" hidden="1" customWidth="1"/>
    <col min="5640" max="5641" width="14.7109375" customWidth="1"/>
    <col min="5885" max="5885" width="0" hidden="1" customWidth="1"/>
    <col min="5886" max="5886" width="14.28515625" customWidth="1"/>
    <col min="5887" max="5887" width="38.85546875" customWidth="1"/>
    <col min="5888" max="5888" width="28.7109375" customWidth="1"/>
    <col min="5889" max="5891" width="4.7109375" customWidth="1"/>
    <col min="5892" max="5892" width="14.7109375" customWidth="1"/>
    <col min="5893" max="5895" width="0" hidden="1" customWidth="1"/>
    <col min="5896" max="5897" width="14.7109375" customWidth="1"/>
    <col min="6141" max="6141" width="0" hidden="1" customWidth="1"/>
    <col min="6142" max="6142" width="14.28515625" customWidth="1"/>
    <col min="6143" max="6143" width="38.85546875" customWidth="1"/>
    <col min="6144" max="6144" width="28.7109375" customWidth="1"/>
    <col min="6145" max="6147" width="4.7109375" customWidth="1"/>
    <col min="6148" max="6148" width="14.7109375" customWidth="1"/>
    <col min="6149" max="6151" width="0" hidden="1" customWidth="1"/>
    <col min="6152" max="6153" width="14.7109375" customWidth="1"/>
    <col min="6397" max="6397" width="0" hidden="1" customWidth="1"/>
    <col min="6398" max="6398" width="14.28515625" customWidth="1"/>
    <col min="6399" max="6399" width="38.85546875" customWidth="1"/>
    <col min="6400" max="6400" width="28.7109375" customWidth="1"/>
    <col min="6401" max="6403" width="4.7109375" customWidth="1"/>
    <col min="6404" max="6404" width="14.7109375" customWidth="1"/>
    <col min="6405" max="6407" width="0" hidden="1" customWidth="1"/>
    <col min="6408" max="6409" width="14.7109375" customWidth="1"/>
    <col min="6653" max="6653" width="0" hidden="1" customWidth="1"/>
    <col min="6654" max="6654" width="14.28515625" customWidth="1"/>
    <col min="6655" max="6655" width="38.85546875" customWidth="1"/>
    <col min="6656" max="6656" width="28.7109375" customWidth="1"/>
    <col min="6657" max="6659" width="4.7109375" customWidth="1"/>
    <col min="6660" max="6660" width="14.7109375" customWidth="1"/>
    <col min="6661" max="6663" width="0" hidden="1" customWidth="1"/>
    <col min="6664" max="6665" width="14.7109375" customWidth="1"/>
    <col min="6909" max="6909" width="0" hidden="1" customWidth="1"/>
    <col min="6910" max="6910" width="14.28515625" customWidth="1"/>
    <col min="6911" max="6911" width="38.85546875" customWidth="1"/>
    <col min="6912" max="6912" width="28.7109375" customWidth="1"/>
    <col min="6913" max="6915" width="4.7109375" customWidth="1"/>
    <col min="6916" max="6916" width="14.7109375" customWidth="1"/>
    <col min="6917" max="6919" width="0" hidden="1" customWidth="1"/>
    <col min="6920" max="6921" width="14.7109375" customWidth="1"/>
    <col min="7165" max="7165" width="0" hidden="1" customWidth="1"/>
    <col min="7166" max="7166" width="14.28515625" customWidth="1"/>
    <col min="7167" max="7167" width="38.85546875" customWidth="1"/>
    <col min="7168" max="7168" width="28.7109375" customWidth="1"/>
    <col min="7169" max="7171" width="4.7109375" customWidth="1"/>
    <col min="7172" max="7172" width="14.7109375" customWidth="1"/>
    <col min="7173" max="7175" width="0" hidden="1" customWidth="1"/>
    <col min="7176" max="7177" width="14.7109375" customWidth="1"/>
    <col min="7421" max="7421" width="0" hidden="1" customWidth="1"/>
    <col min="7422" max="7422" width="14.28515625" customWidth="1"/>
    <col min="7423" max="7423" width="38.85546875" customWidth="1"/>
    <col min="7424" max="7424" width="28.7109375" customWidth="1"/>
    <col min="7425" max="7427" width="4.7109375" customWidth="1"/>
    <col min="7428" max="7428" width="14.7109375" customWidth="1"/>
    <col min="7429" max="7431" width="0" hidden="1" customWidth="1"/>
    <col min="7432" max="7433" width="14.7109375" customWidth="1"/>
    <col min="7677" max="7677" width="0" hidden="1" customWidth="1"/>
    <col min="7678" max="7678" width="14.28515625" customWidth="1"/>
    <col min="7679" max="7679" width="38.85546875" customWidth="1"/>
    <col min="7680" max="7680" width="28.7109375" customWidth="1"/>
    <col min="7681" max="7683" width="4.7109375" customWidth="1"/>
    <col min="7684" max="7684" width="14.7109375" customWidth="1"/>
    <col min="7685" max="7687" width="0" hidden="1" customWidth="1"/>
    <col min="7688" max="7689" width="14.7109375" customWidth="1"/>
    <col min="7933" max="7933" width="0" hidden="1" customWidth="1"/>
    <col min="7934" max="7934" width="14.28515625" customWidth="1"/>
    <col min="7935" max="7935" width="38.85546875" customWidth="1"/>
    <col min="7936" max="7936" width="28.7109375" customWidth="1"/>
    <col min="7937" max="7939" width="4.7109375" customWidth="1"/>
    <col min="7940" max="7940" width="14.7109375" customWidth="1"/>
    <col min="7941" max="7943" width="0" hidden="1" customWidth="1"/>
    <col min="7944" max="7945" width="14.7109375" customWidth="1"/>
    <col min="8189" max="8189" width="0" hidden="1" customWidth="1"/>
    <col min="8190" max="8190" width="14.28515625" customWidth="1"/>
    <col min="8191" max="8191" width="38.85546875" customWidth="1"/>
    <col min="8192" max="8192" width="28.7109375" customWidth="1"/>
    <col min="8193" max="8195" width="4.7109375" customWidth="1"/>
    <col min="8196" max="8196" width="14.7109375" customWidth="1"/>
    <col min="8197" max="8199" width="0" hidden="1" customWidth="1"/>
    <col min="8200" max="8201" width="14.7109375" customWidth="1"/>
    <col min="8445" max="8445" width="0" hidden="1" customWidth="1"/>
    <col min="8446" max="8446" width="14.28515625" customWidth="1"/>
    <col min="8447" max="8447" width="38.85546875" customWidth="1"/>
    <col min="8448" max="8448" width="28.7109375" customWidth="1"/>
    <col min="8449" max="8451" width="4.7109375" customWidth="1"/>
    <col min="8452" max="8452" width="14.7109375" customWidth="1"/>
    <col min="8453" max="8455" width="0" hidden="1" customWidth="1"/>
    <col min="8456" max="8457" width="14.7109375" customWidth="1"/>
    <col min="8701" max="8701" width="0" hidden="1" customWidth="1"/>
    <col min="8702" max="8702" width="14.28515625" customWidth="1"/>
    <col min="8703" max="8703" width="38.85546875" customWidth="1"/>
    <col min="8704" max="8704" width="28.7109375" customWidth="1"/>
    <col min="8705" max="8707" width="4.7109375" customWidth="1"/>
    <col min="8708" max="8708" width="14.7109375" customWidth="1"/>
    <col min="8709" max="8711" width="0" hidden="1" customWidth="1"/>
    <col min="8712" max="8713" width="14.7109375" customWidth="1"/>
    <col min="8957" max="8957" width="0" hidden="1" customWidth="1"/>
    <col min="8958" max="8958" width="14.28515625" customWidth="1"/>
    <col min="8959" max="8959" width="38.85546875" customWidth="1"/>
    <col min="8960" max="8960" width="28.7109375" customWidth="1"/>
    <col min="8961" max="8963" width="4.7109375" customWidth="1"/>
    <col min="8964" max="8964" width="14.7109375" customWidth="1"/>
    <col min="8965" max="8967" width="0" hidden="1" customWidth="1"/>
    <col min="8968" max="8969" width="14.7109375" customWidth="1"/>
    <col min="9213" max="9213" width="0" hidden="1" customWidth="1"/>
    <col min="9214" max="9214" width="14.28515625" customWidth="1"/>
    <col min="9215" max="9215" width="38.85546875" customWidth="1"/>
    <col min="9216" max="9216" width="28.7109375" customWidth="1"/>
    <col min="9217" max="9219" width="4.7109375" customWidth="1"/>
    <col min="9220" max="9220" width="14.7109375" customWidth="1"/>
    <col min="9221" max="9223" width="0" hidden="1" customWidth="1"/>
    <col min="9224" max="9225" width="14.7109375" customWidth="1"/>
    <col min="9469" max="9469" width="0" hidden="1" customWidth="1"/>
    <col min="9470" max="9470" width="14.28515625" customWidth="1"/>
    <col min="9471" max="9471" width="38.85546875" customWidth="1"/>
    <col min="9472" max="9472" width="28.7109375" customWidth="1"/>
    <col min="9473" max="9475" width="4.7109375" customWidth="1"/>
    <col min="9476" max="9476" width="14.7109375" customWidth="1"/>
    <col min="9477" max="9479" width="0" hidden="1" customWidth="1"/>
    <col min="9480" max="9481" width="14.7109375" customWidth="1"/>
    <col min="9725" max="9725" width="0" hidden="1" customWidth="1"/>
    <col min="9726" max="9726" width="14.28515625" customWidth="1"/>
    <col min="9727" max="9727" width="38.85546875" customWidth="1"/>
    <col min="9728" max="9728" width="28.7109375" customWidth="1"/>
    <col min="9729" max="9731" width="4.7109375" customWidth="1"/>
    <col min="9732" max="9732" width="14.7109375" customWidth="1"/>
    <col min="9733" max="9735" width="0" hidden="1" customWidth="1"/>
    <col min="9736" max="9737" width="14.7109375" customWidth="1"/>
    <col min="9981" max="9981" width="0" hidden="1" customWidth="1"/>
    <col min="9982" max="9982" width="14.28515625" customWidth="1"/>
    <col min="9983" max="9983" width="38.85546875" customWidth="1"/>
    <col min="9984" max="9984" width="28.7109375" customWidth="1"/>
    <col min="9985" max="9987" width="4.7109375" customWidth="1"/>
    <col min="9988" max="9988" width="14.7109375" customWidth="1"/>
    <col min="9989" max="9991" width="0" hidden="1" customWidth="1"/>
    <col min="9992" max="9993" width="14.7109375" customWidth="1"/>
    <col min="10237" max="10237" width="0" hidden="1" customWidth="1"/>
    <col min="10238" max="10238" width="14.28515625" customWidth="1"/>
    <col min="10239" max="10239" width="38.85546875" customWidth="1"/>
    <col min="10240" max="10240" width="28.7109375" customWidth="1"/>
    <col min="10241" max="10243" width="4.7109375" customWidth="1"/>
    <col min="10244" max="10244" width="14.7109375" customWidth="1"/>
    <col min="10245" max="10247" width="0" hidden="1" customWidth="1"/>
    <col min="10248" max="10249" width="14.7109375" customWidth="1"/>
    <col min="10493" max="10493" width="0" hidden="1" customWidth="1"/>
    <col min="10494" max="10494" width="14.28515625" customWidth="1"/>
    <col min="10495" max="10495" width="38.85546875" customWidth="1"/>
    <col min="10496" max="10496" width="28.7109375" customWidth="1"/>
    <col min="10497" max="10499" width="4.7109375" customWidth="1"/>
    <col min="10500" max="10500" width="14.7109375" customWidth="1"/>
    <col min="10501" max="10503" width="0" hidden="1" customWidth="1"/>
    <col min="10504" max="10505" width="14.7109375" customWidth="1"/>
    <col min="10749" max="10749" width="0" hidden="1" customWidth="1"/>
    <col min="10750" max="10750" width="14.28515625" customWidth="1"/>
    <col min="10751" max="10751" width="38.85546875" customWidth="1"/>
    <col min="10752" max="10752" width="28.7109375" customWidth="1"/>
    <col min="10753" max="10755" width="4.7109375" customWidth="1"/>
    <col min="10756" max="10756" width="14.7109375" customWidth="1"/>
    <col min="10757" max="10759" width="0" hidden="1" customWidth="1"/>
    <col min="10760" max="10761" width="14.7109375" customWidth="1"/>
    <col min="11005" max="11005" width="0" hidden="1" customWidth="1"/>
    <col min="11006" max="11006" width="14.28515625" customWidth="1"/>
    <col min="11007" max="11007" width="38.85546875" customWidth="1"/>
    <col min="11008" max="11008" width="28.7109375" customWidth="1"/>
    <col min="11009" max="11011" width="4.7109375" customWidth="1"/>
    <col min="11012" max="11012" width="14.7109375" customWidth="1"/>
    <col min="11013" max="11015" width="0" hidden="1" customWidth="1"/>
    <col min="11016" max="11017" width="14.7109375" customWidth="1"/>
    <col min="11261" max="11261" width="0" hidden="1" customWidth="1"/>
    <col min="11262" max="11262" width="14.28515625" customWidth="1"/>
    <col min="11263" max="11263" width="38.85546875" customWidth="1"/>
    <col min="11264" max="11264" width="28.7109375" customWidth="1"/>
    <col min="11265" max="11267" width="4.7109375" customWidth="1"/>
    <col min="11268" max="11268" width="14.7109375" customWidth="1"/>
    <col min="11269" max="11271" width="0" hidden="1" customWidth="1"/>
    <col min="11272" max="11273" width="14.7109375" customWidth="1"/>
    <col min="11517" max="11517" width="0" hidden="1" customWidth="1"/>
    <col min="11518" max="11518" width="14.28515625" customWidth="1"/>
    <col min="11519" max="11519" width="38.85546875" customWidth="1"/>
    <col min="11520" max="11520" width="28.7109375" customWidth="1"/>
    <col min="11521" max="11523" width="4.7109375" customWidth="1"/>
    <col min="11524" max="11524" width="14.7109375" customWidth="1"/>
    <col min="11525" max="11527" width="0" hidden="1" customWidth="1"/>
    <col min="11528" max="11529" width="14.7109375" customWidth="1"/>
    <col min="11773" max="11773" width="0" hidden="1" customWidth="1"/>
    <col min="11774" max="11774" width="14.28515625" customWidth="1"/>
    <col min="11775" max="11775" width="38.85546875" customWidth="1"/>
    <col min="11776" max="11776" width="28.7109375" customWidth="1"/>
    <col min="11777" max="11779" width="4.7109375" customWidth="1"/>
    <col min="11780" max="11780" width="14.7109375" customWidth="1"/>
    <col min="11781" max="11783" width="0" hidden="1" customWidth="1"/>
    <col min="11784" max="11785" width="14.7109375" customWidth="1"/>
    <col min="12029" max="12029" width="0" hidden="1" customWidth="1"/>
    <col min="12030" max="12030" width="14.28515625" customWidth="1"/>
    <col min="12031" max="12031" width="38.85546875" customWidth="1"/>
    <col min="12032" max="12032" width="28.7109375" customWidth="1"/>
    <col min="12033" max="12035" width="4.7109375" customWidth="1"/>
    <col min="12036" max="12036" width="14.7109375" customWidth="1"/>
    <col min="12037" max="12039" width="0" hidden="1" customWidth="1"/>
    <col min="12040" max="12041" width="14.7109375" customWidth="1"/>
    <col min="12285" max="12285" width="0" hidden="1" customWidth="1"/>
    <col min="12286" max="12286" width="14.28515625" customWidth="1"/>
    <col min="12287" max="12287" width="38.85546875" customWidth="1"/>
    <col min="12288" max="12288" width="28.7109375" customWidth="1"/>
    <col min="12289" max="12291" width="4.7109375" customWidth="1"/>
    <col min="12292" max="12292" width="14.7109375" customWidth="1"/>
    <col min="12293" max="12295" width="0" hidden="1" customWidth="1"/>
    <col min="12296" max="12297" width="14.7109375" customWidth="1"/>
    <col min="12541" max="12541" width="0" hidden="1" customWidth="1"/>
    <col min="12542" max="12542" width="14.28515625" customWidth="1"/>
    <col min="12543" max="12543" width="38.85546875" customWidth="1"/>
    <col min="12544" max="12544" width="28.7109375" customWidth="1"/>
    <col min="12545" max="12547" width="4.7109375" customWidth="1"/>
    <col min="12548" max="12548" width="14.7109375" customWidth="1"/>
    <col min="12549" max="12551" width="0" hidden="1" customWidth="1"/>
    <col min="12552" max="12553" width="14.7109375" customWidth="1"/>
    <col min="12797" max="12797" width="0" hidden="1" customWidth="1"/>
    <col min="12798" max="12798" width="14.28515625" customWidth="1"/>
    <col min="12799" max="12799" width="38.85546875" customWidth="1"/>
    <col min="12800" max="12800" width="28.7109375" customWidth="1"/>
    <col min="12801" max="12803" width="4.7109375" customWidth="1"/>
    <col min="12804" max="12804" width="14.7109375" customWidth="1"/>
    <col min="12805" max="12807" width="0" hidden="1" customWidth="1"/>
    <col min="12808" max="12809" width="14.7109375" customWidth="1"/>
    <col min="13053" max="13053" width="0" hidden="1" customWidth="1"/>
    <col min="13054" max="13054" width="14.28515625" customWidth="1"/>
    <col min="13055" max="13055" width="38.85546875" customWidth="1"/>
    <col min="13056" max="13056" width="28.7109375" customWidth="1"/>
    <col min="13057" max="13059" width="4.7109375" customWidth="1"/>
    <col min="13060" max="13060" width="14.7109375" customWidth="1"/>
    <col min="13061" max="13063" width="0" hidden="1" customWidth="1"/>
    <col min="13064" max="13065" width="14.7109375" customWidth="1"/>
    <col min="13309" max="13309" width="0" hidden="1" customWidth="1"/>
    <col min="13310" max="13310" width="14.28515625" customWidth="1"/>
    <col min="13311" max="13311" width="38.85546875" customWidth="1"/>
    <col min="13312" max="13312" width="28.7109375" customWidth="1"/>
    <col min="13313" max="13315" width="4.7109375" customWidth="1"/>
    <col min="13316" max="13316" width="14.7109375" customWidth="1"/>
    <col min="13317" max="13319" width="0" hidden="1" customWidth="1"/>
    <col min="13320" max="13321" width="14.7109375" customWidth="1"/>
    <col min="13565" max="13565" width="0" hidden="1" customWidth="1"/>
    <col min="13566" max="13566" width="14.28515625" customWidth="1"/>
    <col min="13567" max="13567" width="38.85546875" customWidth="1"/>
    <col min="13568" max="13568" width="28.7109375" customWidth="1"/>
    <col min="13569" max="13571" width="4.7109375" customWidth="1"/>
    <col min="13572" max="13572" width="14.7109375" customWidth="1"/>
    <col min="13573" max="13575" width="0" hidden="1" customWidth="1"/>
    <col min="13576" max="13577" width="14.7109375" customWidth="1"/>
    <col min="13821" max="13821" width="0" hidden="1" customWidth="1"/>
    <col min="13822" max="13822" width="14.28515625" customWidth="1"/>
    <col min="13823" max="13823" width="38.85546875" customWidth="1"/>
    <col min="13824" max="13824" width="28.7109375" customWidth="1"/>
    <col min="13825" max="13827" width="4.7109375" customWidth="1"/>
    <col min="13828" max="13828" width="14.7109375" customWidth="1"/>
    <col min="13829" max="13831" width="0" hidden="1" customWidth="1"/>
    <col min="13832" max="13833" width="14.7109375" customWidth="1"/>
    <col min="14077" max="14077" width="0" hidden="1" customWidth="1"/>
    <col min="14078" max="14078" width="14.28515625" customWidth="1"/>
    <col min="14079" max="14079" width="38.85546875" customWidth="1"/>
    <col min="14080" max="14080" width="28.7109375" customWidth="1"/>
    <col min="14081" max="14083" width="4.7109375" customWidth="1"/>
    <col min="14084" max="14084" width="14.7109375" customWidth="1"/>
    <col min="14085" max="14087" width="0" hidden="1" customWidth="1"/>
    <col min="14088" max="14089" width="14.7109375" customWidth="1"/>
    <col min="14333" max="14333" width="0" hidden="1" customWidth="1"/>
    <col min="14334" max="14334" width="14.28515625" customWidth="1"/>
    <col min="14335" max="14335" width="38.85546875" customWidth="1"/>
    <col min="14336" max="14336" width="28.7109375" customWidth="1"/>
    <col min="14337" max="14339" width="4.7109375" customWidth="1"/>
    <col min="14340" max="14340" width="14.7109375" customWidth="1"/>
    <col min="14341" max="14343" width="0" hidden="1" customWidth="1"/>
    <col min="14344" max="14345" width="14.7109375" customWidth="1"/>
    <col min="14589" max="14589" width="0" hidden="1" customWidth="1"/>
    <col min="14590" max="14590" width="14.28515625" customWidth="1"/>
    <col min="14591" max="14591" width="38.85546875" customWidth="1"/>
    <col min="14592" max="14592" width="28.7109375" customWidth="1"/>
    <col min="14593" max="14595" width="4.7109375" customWidth="1"/>
    <col min="14596" max="14596" width="14.7109375" customWidth="1"/>
    <col min="14597" max="14599" width="0" hidden="1" customWidth="1"/>
    <col min="14600" max="14601" width="14.7109375" customWidth="1"/>
    <col min="14845" max="14845" width="0" hidden="1" customWidth="1"/>
    <col min="14846" max="14846" width="14.28515625" customWidth="1"/>
    <col min="14847" max="14847" width="38.85546875" customWidth="1"/>
    <col min="14848" max="14848" width="28.7109375" customWidth="1"/>
    <col min="14849" max="14851" width="4.7109375" customWidth="1"/>
    <col min="14852" max="14852" width="14.7109375" customWidth="1"/>
    <col min="14853" max="14855" width="0" hidden="1" customWidth="1"/>
    <col min="14856" max="14857" width="14.7109375" customWidth="1"/>
    <col min="15101" max="15101" width="0" hidden="1" customWidth="1"/>
    <col min="15102" max="15102" width="14.28515625" customWidth="1"/>
    <col min="15103" max="15103" width="38.85546875" customWidth="1"/>
    <col min="15104" max="15104" width="28.7109375" customWidth="1"/>
    <col min="15105" max="15107" width="4.7109375" customWidth="1"/>
    <col min="15108" max="15108" width="14.7109375" customWidth="1"/>
    <col min="15109" max="15111" width="0" hidden="1" customWidth="1"/>
    <col min="15112" max="15113" width="14.7109375" customWidth="1"/>
    <col min="15357" max="15357" width="0" hidden="1" customWidth="1"/>
    <col min="15358" max="15358" width="14.28515625" customWidth="1"/>
    <col min="15359" max="15359" width="38.85546875" customWidth="1"/>
    <col min="15360" max="15360" width="28.7109375" customWidth="1"/>
    <col min="15361" max="15363" width="4.7109375" customWidth="1"/>
    <col min="15364" max="15364" width="14.7109375" customWidth="1"/>
    <col min="15365" max="15367" width="0" hidden="1" customWidth="1"/>
    <col min="15368" max="15369" width="14.7109375" customWidth="1"/>
    <col min="15613" max="15613" width="0" hidden="1" customWidth="1"/>
    <col min="15614" max="15614" width="14.28515625" customWidth="1"/>
    <col min="15615" max="15615" width="38.85546875" customWidth="1"/>
    <col min="15616" max="15616" width="28.7109375" customWidth="1"/>
    <col min="15617" max="15619" width="4.7109375" customWidth="1"/>
    <col min="15620" max="15620" width="14.7109375" customWidth="1"/>
    <col min="15621" max="15623" width="0" hidden="1" customWidth="1"/>
    <col min="15624" max="15625" width="14.7109375" customWidth="1"/>
    <col min="15869" max="15869" width="0" hidden="1" customWidth="1"/>
    <col min="15870" max="15870" width="14.28515625" customWidth="1"/>
    <col min="15871" max="15871" width="38.85546875" customWidth="1"/>
    <col min="15872" max="15872" width="28.7109375" customWidth="1"/>
    <col min="15873" max="15875" width="4.7109375" customWidth="1"/>
    <col min="15876" max="15876" width="14.7109375" customWidth="1"/>
    <col min="15877" max="15879" width="0" hidden="1" customWidth="1"/>
    <col min="15880" max="15881" width="14.7109375" customWidth="1"/>
    <col min="16125" max="16125" width="0" hidden="1" customWidth="1"/>
    <col min="16126" max="16126" width="14.28515625" customWidth="1"/>
    <col min="16127" max="16127" width="38.85546875" customWidth="1"/>
    <col min="16128" max="16128" width="28.7109375" customWidth="1"/>
    <col min="16129" max="16131" width="4.7109375" customWidth="1"/>
    <col min="16132" max="16132" width="14.7109375" customWidth="1"/>
    <col min="16133" max="16135" width="0" hidden="1" customWidth="1"/>
    <col min="16136" max="16137" width="14.7109375" customWidth="1"/>
  </cols>
  <sheetData>
    <row r="1" spans="2:8" ht="15" x14ac:dyDescent="0.25">
      <c r="B1" s="143" t="s">
        <v>623</v>
      </c>
      <c r="C1" s="144"/>
      <c r="D1" s="144"/>
      <c r="E1" s="144"/>
      <c r="F1" s="144"/>
      <c r="G1" s="144"/>
      <c r="H1" s="157"/>
    </row>
    <row r="2" spans="2:8" ht="23.25" x14ac:dyDescent="0.35">
      <c r="B2" s="182" t="s">
        <v>624</v>
      </c>
      <c r="C2" s="182"/>
      <c r="D2" s="182"/>
      <c r="E2" s="182"/>
      <c r="F2" s="182"/>
      <c r="G2" s="182"/>
      <c r="H2" s="159"/>
    </row>
    <row r="3" spans="2:8" ht="20.25" x14ac:dyDescent="0.3">
      <c r="B3" s="183" t="s">
        <v>392</v>
      </c>
      <c r="C3" s="183"/>
      <c r="D3" s="183"/>
      <c r="E3" s="183"/>
      <c r="F3" s="183"/>
      <c r="G3" s="183"/>
      <c r="H3" s="160"/>
    </row>
    <row r="4" spans="2:8" ht="15" x14ac:dyDescent="0.2">
      <c r="B4" s="184" t="s">
        <v>625</v>
      </c>
      <c r="C4" s="184"/>
      <c r="D4" s="184"/>
      <c r="E4" s="184"/>
      <c r="F4" s="184"/>
      <c r="G4" s="184"/>
      <c r="H4" s="161"/>
    </row>
    <row r="5" spans="2:8" x14ac:dyDescent="0.2">
      <c r="B5" s="145"/>
      <c r="C5" s="146" t="s">
        <v>626</v>
      </c>
      <c r="D5" s="145"/>
      <c r="E5" s="145"/>
      <c r="F5" s="145"/>
      <c r="G5" s="145"/>
      <c r="H5" s="162"/>
    </row>
    <row r="6" spans="2:8" x14ac:dyDescent="0.2">
      <c r="B6" s="146"/>
      <c r="C6" s="146"/>
      <c r="D6" s="148"/>
      <c r="E6" s="146"/>
      <c r="F6" s="146"/>
      <c r="G6" s="146"/>
      <c r="H6" s="162"/>
    </row>
    <row r="7" spans="2:8" ht="15" x14ac:dyDescent="0.25">
      <c r="B7" s="149"/>
      <c r="C7" s="150"/>
      <c r="D7" s="144"/>
      <c r="E7" s="144"/>
      <c r="F7" s="144"/>
      <c r="G7" s="144"/>
      <c r="H7" s="162"/>
    </row>
    <row r="8" spans="2:8" ht="15" x14ac:dyDescent="0.25">
      <c r="B8" s="149"/>
      <c r="C8" s="150"/>
      <c r="D8" s="144"/>
      <c r="E8" s="144"/>
      <c r="F8" s="144"/>
      <c r="G8" s="144"/>
      <c r="H8" s="162"/>
    </row>
    <row r="9" spans="2:8" ht="25.5" x14ac:dyDescent="0.2">
      <c r="B9" s="151" t="s">
        <v>393</v>
      </c>
      <c r="C9" s="151" t="s">
        <v>394</v>
      </c>
      <c r="D9" s="152"/>
      <c r="E9" s="152"/>
      <c r="F9" s="152"/>
      <c r="G9" s="152"/>
      <c r="H9" s="163" t="s">
        <v>627</v>
      </c>
    </row>
    <row r="10" spans="2:8" x14ac:dyDescent="0.2">
      <c r="B10" s="185" t="s">
        <v>395</v>
      </c>
      <c r="C10" s="185"/>
      <c r="D10" s="185"/>
      <c r="E10" s="185"/>
      <c r="F10" s="185"/>
      <c r="G10" s="185"/>
      <c r="H10" s="164"/>
    </row>
    <row r="11" spans="2:8" ht="15" x14ac:dyDescent="0.25">
      <c r="B11" s="143" t="s">
        <v>396</v>
      </c>
      <c r="C11" s="147" t="s">
        <v>2</v>
      </c>
      <c r="D11" s="144"/>
      <c r="E11" s="144"/>
      <c r="F11" s="144"/>
      <c r="G11" s="144"/>
      <c r="H11" s="162">
        <v>0</v>
      </c>
    </row>
    <row r="12" spans="2:8" ht="15" x14ac:dyDescent="0.25">
      <c r="B12" s="143" t="s">
        <v>397</v>
      </c>
      <c r="C12" s="153" t="s">
        <v>398</v>
      </c>
      <c r="D12" s="144"/>
      <c r="E12" s="144"/>
      <c r="F12" s="144"/>
      <c r="G12" s="144"/>
      <c r="H12" s="162">
        <v>0</v>
      </c>
    </row>
    <row r="13" spans="2:8" ht="15" x14ac:dyDescent="0.25">
      <c r="B13" s="143" t="s">
        <v>399</v>
      </c>
      <c r="C13" s="153" t="s">
        <v>259</v>
      </c>
      <c r="D13" s="144"/>
      <c r="E13" s="144"/>
      <c r="F13" s="144"/>
      <c r="G13" s="144"/>
      <c r="H13" s="162">
        <v>0</v>
      </c>
    </row>
    <row r="14" spans="2:8" ht="15" x14ac:dyDescent="0.25">
      <c r="B14" s="143" t="s">
        <v>400</v>
      </c>
      <c r="C14" s="153" t="s">
        <v>8</v>
      </c>
      <c r="D14" s="144"/>
      <c r="E14" s="144"/>
      <c r="F14" s="144"/>
      <c r="G14" s="144"/>
      <c r="H14" s="162">
        <v>0</v>
      </c>
    </row>
    <row r="15" spans="2:8" ht="15" x14ac:dyDescent="0.25">
      <c r="B15" s="143" t="s">
        <v>401</v>
      </c>
      <c r="C15" s="153" t="s">
        <v>402</v>
      </c>
      <c r="D15" s="144"/>
      <c r="E15" s="144"/>
      <c r="F15" s="144"/>
      <c r="G15" s="144"/>
      <c r="H15" s="162">
        <v>0</v>
      </c>
    </row>
    <row r="16" spans="2:8" ht="15" x14ac:dyDescent="0.25">
      <c r="B16" s="143" t="s">
        <v>403</v>
      </c>
      <c r="C16" s="153" t="s">
        <v>260</v>
      </c>
      <c r="D16" s="144"/>
      <c r="E16" s="144"/>
      <c r="F16" s="144"/>
      <c r="G16" s="144"/>
      <c r="H16" s="162">
        <v>0</v>
      </c>
    </row>
    <row r="17" spans="2:11" x14ac:dyDescent="0.2">
      <c r="B17" s="181" t="s">
        <v>404</v>
      </c>
      <c r="C17" s="181"/>
      <c r="D17" s="181"/>
      <c r="E17" s="181"/>
      <c r="F17" s="181"/>
      <c r="G17" s="181"/>
      <c r="H17" s="165">
        <v>0</v>
      </c>
    </row>
    <row r="18" spans="2:11" x14ac:dyDescent="0.2">
      <c r="B18" s="181" t="s">
        <v>405</v>
      </c>
      <c r="C18" s="181"/>
      <c r="D18" s="181"/>
      <c r="E18" s="181"/>
      <c r="F18" s="181"/>
      <c r="G18" s="181"/>
      <c r="H18" s="162"/>
    </row>
    <row r="19" spans="2:11" ht="15" x14ac:dyDescent="0.25">
      <c r="B19" s="143" t="s">
        <v>406</v>
      </c>
      <c r="C19" s="147" t="s">
        <v>407</v>
      </c>
      <c r="D19" s="144"/>
      <c r="E19" s="144"/>
      <c r="F19" s="144"/>
      <c r="G19" s="144"/>
      <c r="H19" s="162">
        <v>0</v>
      </c>
    </row>
    <row r="20" spans="2:11" ht="15" x14ac:dyDescent="0.25">
      <c r="B20" s="143" t="s">
        <v>408</v>
      </c>
      <c r="C20" s="147" t="s">
        <v>243</v>
      </c>
      <c r="D20" s="144"/>
      <c r="E20" s="144"/>
      <c r="F20" s="144"/>
      <c r="G20" s="144"/>
      <c r="H20" s="162">
        <f>1050000-832460</f>
        <v>217540</v>
      </c>
    </row>
    <row r="21" spans="2:11" ht="15" x14ac:dyDescent="0.25">
      <c r="B21" s="143" t="s">
        <v>409</v>
      </c>
      <c r="C21" s="153" t="s">
        <v>410</v>
      </c>
      <c r="D21" s="144"/>
      <c r="E21" s="144"/>
      <c r="F21" s="144"/>
      <c r="G21" s="144"/>
      <c r="H21" s="162"/>
      <c r="I21"/>
      <c r="K21" s="158"/>
    </row>
    <row r="22" spans="2:11" ht="15" x14ac:dyDescent="0.25">
      <c r="B22" s="143" t="s">
        <v>411</v>
      </c>
      <c r="C22" s="147" t="s">
        <v>412</v>
      </c>
      <c r="D22" s="144"/>
      <c r="E22" s="144"/>
      <c r="F22" s="144"/>
      <c r="G22" s="144"/>
      <c r="H22" s="162">
        <v>185136</v>
      </c>
    </row>
    <row r="23" spans="2:11" ht="15" x14ac:dyDescent="0.25">
      <c r="B23" s="143" t="s">
        <v>413</v>
      </c>
      <c r="C23" s="147" t="s">
        <v>211</v>
      </c>
      <c r="D23" s="144"/>
      <c r="E23" s="144"/>
      <c r="F23" s="144"/>
      <c r="G23" s="144"/>
      <c r="H23" s="162">
        <v>229824</v>
      </c>
    </row>
    <row r="24" spans="2:11" ht="15" x14ac:dyDescent="0.25">
      <c r="B24" s="143" t="s">
        <v>414</v>
      </c>
      <c r="C24" s="153" t="s">
        <v>223</v>
      </c>
      <c r="D24" s="144"/>
      <c r="E24" s="144"/>
      <c r="F24" s="144"/>
      <c r="G24" s="144"/>
      <c r="H24" s="162">
        <v>6210</v>
      </c>
    </row>
    <row r="25" spans="2:11" ht="15" x14ac:dyDescent="0.25">
      <c r="B25" s="143" t="s">
        <v>415</v>
      </c>
      <c r="C25" s="153" t="s">
        <v>212</v>
      </c>
      <c r="D25" s="144"/>
      <c r="E25" s="144"/>
      <c r="F25" s="144"/>
      <c r="G25" s="144"/>
      <c r="H25" s="162">
        <v>223440</v>
      </c>
    </row>
    <row r="26" spans="2:11" ht="15" x14ac:dyDescent="0.25">
      <c r="B26" s="143" t="s">
        <v>416</v>
      </c>
      <c r="C26" s="153" t="s">
        <v>217</v>
      </c>
      <c r="D26" s="144"/>
      <c r="E26" s="144"/>
      <c r="F26" s="144"/>
      <c r="G26" s="144"/>
      <c r="H26" s="162">
        <v>0</v>
      </c>
    </row>
    <row r="27" spans="2:11" ht="15" x14ac:dyDescent="0.25">
      <c r="B27" s="143" t="s">
        <v>417</v>
      </c>
      <c r="C27" s="147" t="s">
        <v>637</v>
      </c>
      <c r="D27" s="144"/>
      <c r="E27" s="144"/>
      <c r="F27" s="144"/>
      <c r="G27" s="144"/>
      <c r="H27" s="162"/>
    </row>
    <row r="28" spans="2:11" ht="15" x14ac:dyDescent="0.25">
      <c r="B28" s="143" t="s">
        <v>418</v>
      </c>
      <c r="C28" s="147" t="s">
        <v>213</v>
      </c>
      <c r="D28" s="144"/>
      <c r="E28" s="144"/>
      <c r="F28" s="144"/>
      <c r="G28" s="144"/>
      <c r="H28" s="162">
        <v>140700</v>
      </c>
    </row>
    <row r="29" spans="2:11" ht="15" x14ac:dyDescent="0.25">
      <c r="B29" s="143" t="s">
        <v>419</v>
      </c>
      <c r="C29" s="147" t="s">
        <v>420</v>
      </c>
      <c r="D29" s="144"/>
      <c r="E29" s="144"/>
      <c r="F29" s="144"/>
      <c r="G29" s="144"/>
      <c r="H29" s="162">
        <v>47150</v>
      </c>
      <c r="I29" s="116"/>
    </row>
    <row r="30" spans="2:11" x14ac:dyDescent="0.2">
      <c r="B30" s="181" t="s">
        <v>421</v>
      </c>
      <c r="C30" s="181"/>
      <c r="D30" s="181"/>
      <c r="E30" s="181"/>
      <c r="F30" s="181"/>
      <c r="G30" s="181"/>
      <c r="I30" s="116">
        <f>SUM(H19:H29)</f>
        <v>1050000</v>
      </c>
      <c r="J30" s="8">
        <f>+I30-H24</f>
        <v>1043790</v>
      </c>
    </row>
    <row r="31" spans="2:11" x14ac:dyDescent="0.2">
      <c r="B31" s="181" t="s">
        <v>422</v>
      </c>
      <c r="C31" s="181"/>
      <c r="D31" s="181"/>
      <c r="E31" s="181"/>
      <c r="F31" s="181"/>
      <c r="G31" s="181"/>
      <c r="H31" s="162"/>
      <c r="I31" s="116"/>
    </row>
    <row r="32" spans="2:11" ht="15" x14ac:dyDescent="0.25">
      <c r="B32" s="143" t="s">
        <v>423</v>
      </c>
      <c r="C32" s="153" t="s">
        <v>221</v>
      </c>
      <c r="D32" s="144"/>
      <c r="E32" s="144"/>
      <c r="F32" s="144"/>
      <c r="G32" s="144"/>
      <c r="H32" s="162">
        <v>889300</v>
      </c>
      <c r="I32" s="116"/>
    </row>
    <row r="33" spans="2:9" x14ac:dyDescent="0.2">
      <c r="B33" s="181" t="s">
        <v>424</v>
      </c>
      <c r="C33" s="181"/>
      <c r="D33" s="181"/>
      <c r="E33" s="181"/>
      <c r="F33" s="181"/>
      <c r="G33" s="181"/>
      <c r="I33" s="116">
        <f>+H32</f>
        <v>889300</v>
      </c>
    </row>
    <row r="34" spans="2:9" x14ac:dyDescent="0.2">
      <c r="B34" s="181" t="s">
        <v>425</v>
      </c>
      <c r="C34" s="181"/>
      <c r="D34" s="181"/>
      <c r="E34" s="181"/>
      <c r="F34" s="181"/>
      <c r="G34" s="181"/>
      <c r="H34" s="162"/>
      <c r="I34" s="116"/>
    </row>
    <row r="35" spans="2:9" ht="15" x14ac:dyDescent="0.25">
      <c r="B35" s="143" t="s">
        <v>426</v>
      </c>
      <c r="C35" s="147" t="s">
        <v>427</v>
      </c>
      <c r="D35" s="144"/>
      <c r="E35" s="144"/>
      <c r="F35" s="144"/>
      <c r="G35" s="144"/>
      <c r="H35" s="162">
        <v>126000</v>
      </c>
      <c r="I35" s="116"/>
    </row>
    <row r="36" spans="2:9" x14ac:dyDescent="0.2">
      <c r="B36" s="181" t="s">
        <v>428</v>
      </c>
      <c r="C36" s="181"/>
      <c r="D36" s="181"/>
      <c r="E36" s="181"/>
      <c r="F36" s="181"/>
      <c r="G36" s="181"/>
      <c r="I36" s="116">
        <f>+H35</f>
        <v>126000</v>
      </c>
    </row>
    <row r="37" spans="2:9" x14ac:dyDescent="0.2">
      <c r="B37" s="181" t="s">
        <v>429</v>
      </c>
      <c r="C37" s="181"/>
      <c r="D37" s="181"/>
      <c r="E37" s="181"/>
      <c r="F37" s="181"/>
      <c r="G37" s="181"/>
      <c r="H37" s="162"/>
      <c r="I37" s="116"/>
    </row>
    <row r="38" spans="2:9" ht="15" x14ac:dyDescent="0.25">
      <c r="B38" s="143" t="s">
        <v>430</v>
      </c>
      <c r="C38" s="153" t="s">
        <v>224</v>
      </c>
      <c r="D38" s="144"/>
      <c r="E38" s="144"/>
      <c r="F38" s="144"/>
      <c r="G38" s="144"/>
      <c r="H38" s="162">
        <v>0</v>
      </c>
    </row>
    <row r="39" spans="2:9" x14ac:dyDescent="0.2">
      <c r="B39" s="181" t="s">
        <v>431</v>
      </c>
      <c r="C39" s="181"/>
      <c r="D39" s="181"/>
      <c r="E39" s="181"/>
      <c r="F39" s="181"/>
      <c r="G39" s="181"/>
      <c r="H39" s="165">
        <v>0</v>
      </c>
    </row>
    <row r="40" spans="2:9" x14ac:dyDescent="0.2">
      <c r="B40" s="181" t="s">
        <v>432</v>
      </c>
      <c r="C40" s="181"/>
      <c r="D40" s="181"/>
      <c r="E40" s="181"/>
      <c r="F40" s="181"/>
      <c r="G40" s="181"/>
      <c r="H40" s="162"/>
    </row>
    <row r="41" spans="2:9" ht="15" x14ac:dyDescent="0.25">
      <c r="B41" s="143" t="s">
        <v>433</v>
      </c>
      <c r="C41" s="147" t="s">
        <v>225</v>
      </c>
      <c r="D41" s="144"/>
      <c r="E41" s="144"/>
      <c r="F41" s="144"/>
      <c r="G41" s="144"/>
      <c r="H41" s="162">
        <v>985648</v>
      </c>
    </row>
    <row r="42" spans="2:9" ht="15" x14ac:dyDescent="0.25">
      <c r="B42" s="143" t="s">
        <v>434</v>
      </c>
      <c r="C42" s="147" t="s">
        <v>226</v>
      </c>
      <c r="D42" s="144"/>
      <c r="E42" s="144"/>
      <c r="F42" s="144"/>
      <c r="G42" s="144"/>
      <c r="H42" s="162">
        <v>413392</v>
      </c>
    </row>
    <row r="43" spans="2:9" ht="16.5" x14ac:dyDescent="0.35">
      <c r="B43" s="143" t="s">
        <v>435</v>
      </c>
      <c r="C43" s="153" t="s">
        <v>242</v>
      </c>
      <c r="D43" s="144"/>
      <c r="E43" s="144"/>
      <c r="F43" s="144"/>
      <c r="G43" s="144"/>
      <c r="H43" s="169">
        <v>294400</v>
      </c>
    </row>
    <row r="44" spans="2:9" x14ac:dyDescent="0.2">
      <c r="B44" s="181" t="s">
        <v>436</v>
      </c>
      <c r="C44" s="181"/>
      <c r="D44" s="181"/>
      <c r="E44" s="181"/>
      <c r="F44" s="181"/>
      <c r="G44" s="181"/>
      <c r="H44" s="165"/>
      <c r="I44" s="158">
        <f>SUM(H41:H43)</f>
        <v>1693440</v>
      </c>
    </row>
    <row r="45" spans="2:9" x14ac:dyDescent="0.2">
      <c r="B45" s="181" t="s">
        <v>437</v>
      </c>
      <c r="C45" s="181"/>
      <c r="D45" s="181"/>
      <c r="E45" s="181"/>
      <c r="F45" s="181"/>
      <c r="G45" s="181"/>
      <c r="H45" s="162"/>
    </row>
    <row r="46" spans="2:9" ht="15" x14ac:dyDescent="0.25">
      <c r="B46" s="143" t="s">
        <v>438</v>
      </c>
      <c r="C46" s="147" t="s">
        <v>227</v>
      </c>
      <c r="D46" s="144"/>
      <c r="E46" s="144"/>
      <c r="F46" s="144"/>
      <c r="G46" s="144"/>
      <c r="H46" s="162">
        <v>0</v>
      </c>
    </row>
    <row r="47" spans="2:9" ht="15" x14ac:dyDescent="0.25">
      <c r="B47" s="143" t="s">
        <v>439</v>
      </c>
      <c r="C47" s="153" t="s">
        <v>440</v>
      </c>
      <c r="D47" s="144"/>
      <c r="E47" s="144"/>
      <c r="F47" s="144"/>
      <c r="G47" s="144"/>
      <c r="H47" s="162">
        <v>134550</v>
      </c>
    </row>
    <row r="48" spans="2:9" ht="15" x14ac:dyDescent="0.25">
      <c r="B48" s="143" t="s">
        <v>441</v>
      </c>
      <c r="C48" s="147" t="s">
        <v>229</v>
      </c>
      <c r="D48" s="144"/>
      <c r="E48" s="144"/>
      <c r="F48" s="144"/>
      <c r="G48" s="144"/>
      <c r="H48" s="162">
        <v>164080</v>
      </c>
    </row>
    <row r="49" spans="2:9" ht="15" x14ac:dyDescent="0.25">
      <c r="B49" s="143" t="s">
        <v>442</v>
      </c>
      <c r="C49" s="147" t="s">
        <v>443</v>
      </c>
      <c r="D49" s="144"/>
      <c r="E49" s="144"/>
      <c r="F49" s="144"/>
      <c r="G49" s="144"/>
      <c r="H49" s="162">
        <v>42000</v>
      </c>
    </row>
    <row r="50" spans="2:9" ht="16.5" x14ac:dyDescent="0.35">
      <c r="B50" s="143" t="s">
        <v>444</v>
      </c>
      <c r="C50" s="153" t="s">
        <v>445</v>
      </c>
      <c r="D50" s="144"/>
      <c r="E50" s="144"/>
      <c r="F50" s="144"/>
      <c r="G50" s="144"/>
      <c r="H50" s="169">
        <v>288000</v>
      </c>
    </row>
    <row r="51" spans="2:9" x14ac:dyDescent="0.2">
      <c r="B51" s="181" t="s">
        <v>446</v>
      </c>
      <c r="C51" s="181"/>
      <c r="D51" s="181"/>
      <c r="E51" s="181"/>
      <c r="F51" s="181"/>
      <c r="G51" s="181"/>
      <c r="H51" s="165"/>
      <c r="I51" s="158">
        <f>SUM(H47:H50)</f>
        <v>628630</v>
      </c>
    </row>
    <row r="52" spans="2:9" x14ac:dyDescent="0.2">
      <c r="B52" s="181" t="s">
        <v>447</v>
      </c>
      <c r="C52" s="181"/>
      <c r="D52" s="181"/>
      <c r="E52" s="181"/>
      <c r="F52" s="181"/>
      <c r="G52" s="181"/>
      <c r="H52" s="162"/>
    </row>
    <row r="53" spans="2:9" ht="15" x14ac:dyDescent="0.25">
      <c r="B53" s="143" t="s">
        <v>448</v>
      </c>
      <c r="C53" s="147" t="s">
        <v>449</v>
      </c>
      <c r="D53" s="144"/>
      <c r="E53" s="144"/>
      <c r="F53" s="144"/>
      <c r="G53" s="144"/>
      <c r="H53" s="162">
        <v>69440</v>
      </c>
    </row>
    <row r="54" spans="2:9" ht="16.5" x14ac:dyDescent="0.35">
      <c r="B54" s="143" t="s">
        <v>450</v>
      </c>
      <c r="C54" s="147" t="s">
        <v>233</v>
      </c>
      <c r="D54" s="144"/>
      <c r="E54" s="144"/>
      <c r="F54" s="144"/>
      <c r="G54" s="144"/>
      <c r="H54" s="169">
        <v>143360</v>
      </c>
    </row>
    <row r="55" spans="2:9" ht="15" x14ac:dyDescent="0.25">
      <c r="B55" s="143" t="s">
        <v>451</v>
      </c>
      <c r="C55" s="153" t="s">
        <v>234</v>
      </c>
      <c r="D55" s="144"/>
      <c r="E55" s="144"/>
      <c r="F55" s="144"/>
      <c r="G55" s="144"/>
      <c r="H55" s="162">
        <v>0</v>
      </c>
    </row>
    <row r="56" spans="2:9" x14ac:dyDescent="0.2">
      <c r="B56" s="181" t="s">
        <v>452</v>
      </c>
      <c r="C56" s="181"/>
      <c r="D56" s="181"/>
      <c r="E56" s="181"/>
      <c r="F56" s="181"/>
      <c r="G56" s="181"/>
      <c r="H56" s="165"/>
      <c r="I56" s="158">
        <f>SUM(H53:H54)</f>
        <v>212800</v>
      </c>
    </row>
    <row r="57" spans="2:9" x14ac:dyDescent="0.2">
      <c r="B57" s="181" t="s">
        <v>453</v>
      </c>
      <c r="C57" s="181"/>
      <c r="D57" s="181"/>
      <c r="E57" s="181"/>
      <c r="F57" s="181"/>
      <c r="G57" s="181"/>
      <c r="H57" s="162"/>
    </row>
    <row r="58" spans="2:9" ht="15" x14ac:dyDescent="0.25">
      <c r="B58" s="143" t="s">
        <v>454</v>
      </c>
      <c r="C58" s="147" t="s">
        <v>455</v>
      </c>
      <c r="D58" s="144"/>
      <c r="E58" s="144"/>
      <c r="F58" s="144"/>
      <c r="G58" s="144"/>
      <c r="H58" s="162">
        <v>495264</v>
      </c>
    </row>
    <row r="59" spans="2:9" ht="15" x14ac:dyDescent="0.25">
      <c r="B59" s="143" t="s">
        <v>456</v>
      </c>
      <c r="C59" s="153" t="s">
        <v>237</v>
      </c>
      <c r="D59" s="144"/>
      <c r="E59" s="144"/>
      <c r="F59" s="144"/>
      <c r="G59" s="144"/>
      <c r="H59" s="162">
        <v>62480</v>
      </c>
    </row>
    <row r="60" spans="2:9" ht="15" x14ac:dyDescent="0.25">
      <c r="B60" s="143" t="s">
        <v>457</v>
      </c>
      <c r="C60" s="153" t="s">
        <v>236</v>
      </c>
      <c r="D60" s="144"/>
      <c r="E60" s="144"/>
      <c r="F60" s="144"/>
      <c r="G60" s="144"/>
      <c r="H60" s="162">
        <v>0</v>
      </c>
    </row>
    <row r="61" spans="2:9" ht="15" x14ac:dyDescent="0.25">
      <c r="B61" s="143" t="s">
        <v>458</v>
      </c>
      <c r="C61" s="147" t="s">
        <v>459</v>
      </c>
      <c r="D61" s="144"/>
      <c r="E61" s="144"/>
      <c r="F61" s="144"/>
      <c r="G61" s="144"/>
      <c r="H61" s="162">
        <v>169129</v>
      </c>
    </row>
    <row r="62" spans="2:9" ht="15" x14ac:dyDescent="0.25">
      <c r="B62" s="143" t="s">
        <v>460</v>
      </c>
      <c r="C62" s="153" t="s">
        <v>461</v>
      </c>
      <c r="D62" s="144"/>
      <c r="E62" s="144"/>
      <c r="F62" s="144"/>
      <c r="G62" s="144"/>
      <c r="H62" s="162">
        <v>0</v>
      </c>
    </row>
    <row r="63" spans="2:9" ht="16.5" x14ac:dyDescent="0.35">
      <c r="B63" s="143" t="s">
        <v>462</v>
      </c>
      <c r="C63" s="153" t="s">
        <v>199</v>
      </c>
      <c r="D63" s="144"/>
      <c r="E63" s="144"/>
      <c r="F63" s="144"/>
      <c r="G63" s="144"/>
      <c r="H63" s="169">
        <v>380600</v>
      </c>
    </row>
    <row r="64" spans="2:9" x14ac:dyDescent="0.2">
      <c r="B64" s="181" t="s">
        <v>463</v>
      </c>
      <c r="C64" s="181"/>
      <c r="D64" s="181"/>
      <c r="E64" s="181"/>
      <c r="F64" s="181"/>
      <c r="G64" s="181"/>
      <c r="H64" s="165"/>
      <c r="I64" s="158">
        <f>SUM(H58:H63)</f>
        <v>1107473</v>
      </c>
    </row>
    <row r="65" spans="2:9" x14ac:dyDescent="0.2">
      <c r="B65" s="181" t="s">
        <v>464</v>
      </c>
      <c r="C65" s="181"/>
      <c r="D65" s="181"/>
      <c r="E65" s="181"/>
      <c r="F65" s="181"/>
      <c r="G65" s="181"/>
      <c r="H65" s="162"/>
    </row>
    <row r="66" spans="2:9" ht="16.5" x14ac:dyDescent="0.35">
      <c r="B66" s="143" t="s">
        <v>465</v>
      </c>
      <c r="C66" s="147" t="s">
        <v>239</v>
      </c>
      <c r="D66" s="144"/>
      <c r="E66" s="144"/>
      <c r="F66" s="144"/>
      <c r="G66" s="144"/>
      <c r="H66" s="169">
        <v>109750</v>
      </c>
    </row>
    <row r="67" spans="2:9" ht="15" x14ac:dyDescent="0.25">
      <c r="B67" s="143" t="s">
        <v>466</v>
      </c>
      <c r="C67" s="153" t="s">
        <v>240</v>
      </c>
      <c r="D67" s="144"/>
      <c r="E67" s="144"/>
      <c r="F67" s="144"/>
      <c r="G67" s="144"/>
      <c r="H67" s="162">
        <v>0</v>
      </c>
    </row>
    <row r="68" spans="2:9" x14ac:dyDescent="0.2">
      <c r="B68" s="181" t="s">
        <v>467</v>
      </c>
      <c r="C68" s="181"/>
      <c r="D68" s="181"/>
      <c r="E68" s="181"/>
      <c r="F68" s="181"/>
      <c r="G68" s="181"/>
      <c r="H68" s="165"/>
      <c r="I68" s="158">
        <f>SUM(H66:H67)</f>
        <v>109750</v>
      </c>
    </row>
    <row r="69" spans="2:9" x14ac:dyDescent="0.2">
      <c r="B69" s="181" t="s">
        <v>468</v>
      </c>
      <c r="C69" s="181"/>
      <c r="D69" s="181"/>
      <c r="E69" s="181"/>
      <c r="F69" s="181"/>
      <c r="G69" s="181"/>
      <c r="H69" s="162"/>
    </row>
    <row r="70" spans="2:9" ht="16.5" x14ac:dyDescent="0.35">
      <c r="B70" s="143" t="s">
        <v>469</v>
      </c>
      <c r="C70" s="147" t="s">
        <v>254</v>
      </c>
      <c r="D70" s="144"/>
      <c r="E70" s="144"/>
      <c r="F70" s="144"/>
      <c r="G70" s="144"/>
      <c r="H70" s="169">
        <v>128000</v>
      </c>
    </row>
    <row r="71" spans="2:9" ht="15" x14ac:dyDescent="0.25">
      <c r="B71" s="143" t="s">
        <v>470</v>
      </c>
      <c r="C71" s="147" t="s">
        <v>241</v>
      </c>
      <c r="D71" s="144"/>
      <c r="E71" s="144"/>
      <c r="F71" s="144"/>
      <c r="G71" s="144"/>
      <c r="H71" s="162">
        <v>0</v>
      </c>
    </row>
    <row r="72" spans="2:9" x14ac:dyDescent="0.2">
      <c r="B72" s="181" t="s">
        <v>471</v>
      </c>
      <c r="C72" s="181"/>
      <c r="D72" s="181"/>
      <c r="E72" s="181"/>
      <c r="F72" s="181"/>
      <c r="G72" s="181"/>
      <c r="H72" s="165"/>
      <c r="I72" s="158">
        <f>SUM(H70:H71)</f>
        <v>128000</v>
      </c>
    </row>
    <row r="73" spans="2:9" x14ac:dyDescent="0.2">
      <c r="B73" s="181" t="s">
        <v>472</v>
      </c>
      <c r="C73" s="181"/>
      <c r="D73" s="181"/>
      <c r="E73" s="181"/>
      <c r="F73" s="181"/>
      <c r="G73" s="181"/>
      <c r="H73" s="162"/>
    </row>
    <row r="74" spans="2:9" ht="16.5" x14ac:dyDescent="0.35">
      <c r="B74" s="154" t="s">
        <v>473</v>
      </c>
      <c r="C74" s="153" t="s">
        <v>474</v>
      </c>
      <c r="D74" s="144"/>
      <c r="E74" s="144"/>
      <c r="F74" s="144"/>
      <c r="G74" s="144"/>
      <c r="H74" s="169">
        <v>64920</v>
      </c>
    </row>
    <row r="75" spans="2:9" x14ac:dyDescent="0.2">
      <c r="B75" s="181" t="s">
        <v>475</v>
      </c>
      <c r="C75" s="181"/>
      <c r="D75" s="181"/>
      <c r="E75" s="181"/>
      <c r="F75" s="181"/>
      <c r="G75" s="181"/>
      <c r="H75" s="165"/>
      <c r="I75" s="158">
        <f>+H74</f>
        <v>64920</v>
      </c>
    </row>
    <row r="76" spans="2:9" x14ac:dyDescent="0.2">
      <c r="B76" s="181" t="s">
        <v>476</v>
      </c>
      <c r="C76" s="181"/>
      <c r="D76" s="181"/>
      <c r="E76" s="181"/>
      <c r="F76" s="181"/>
      <c r="G76" s="181"/>
      <c r="H76" s="162"/>
    </row>
    <row r="77" spans="2:9" ht="16.5" x14ac:dyDescent="0.35">
      <c r="B77" s="143" t="s">
        <v>477</v>
      </c>
      <c r="C77" s="153" t="s">
        <v>248</v>
      </c>
      <c r="D77" s="144"/>
      <c r="E77" s="144"/>
      <c r="F77" s="144"/>
      <c r="G77" s="144"/>
      <c r="H77" s="169">
        <v>113400</v>
      </c>
    </row>
    <row r="78" spans="2:9" x14ac:dyDescent="0.2">
      <c r="B78" s="181" t="s">
        <v>478</v>
      </c>
      <c r="C78" s="181"/>
      <c r="D78" s="181"/>
      <c r="E78" s="181"/>
      <c r="F78" s="181"/>
      <c r="G78" s="181"/>
      <c r="H78" s="165"/>
      <c r="I78" s="158">
        <f>+H77</f>
        <v>113400</v>
      </c>
    </row>
    <row r="79" spans="2:9" x14ac:dyDescent="0.2">
      <c r="B79" s="181" t="s">
        <v>479</v>
      </c>
      <c r="C79" s="181"/>
      <c r="D79" s="181"/>
      <c r="E79" s="181"/>
      <c r="F79" s="181"/>
      <c r="G79" s="181"/>
      <c r="H79" s="162"/>
    </row>
    <row r="80" spans="2:9" ht="15" x14ac:dyDescent="0.25">
      <c r="B80" s="143" t="s">
        <v>480</v>
      </c>
      <c r="C80" s="147" t="s">
        <v>244</v>
      </c>
      <c r="D80" s="144"/>
      <c r="E80" s="144"/>
      <c r="F80" s="144"/>
      <c r="G80" s="144"/>
      <c r="H80" s="162">
        <v>0</v>
      </c>
    </row>
    <row r="81" spans="1:11" x14ac:dyDescent="0.2">
      <c r="B81" s="181" t="s">
        <v>481</v>
      </c>
      <c r="C81" s="181"/>
      <c r="D81" s="181"/>
      <c r="E81" s="181"/>
      <c r="F81" s="181"/>
      <c r="G81" s="181"/>
      <c r="H81" s="165">
        <v>0</v>
      </c>
    </row>
    <row r="82" spans="1:11" x14ac:dyDescent="0.2">
      <c r="B82" s="181"/>
      <c r="C82" s="181"/>
      <c r="D82" s="181"/>
      <c r="E82" s="181"/>
      <c r="F82" s="181"/>
      <c r="G82" s="181"/>
      <c r="H82" s="162"/>
    </row>
    <row r="83" spans="1:11" ht="15" x14ac:dyDescent="0.25">
      <c r="B83" s="143" t="s">
        <v>482</v>
      </c>
      <c r="C83" s="153" t="s">
        <v>245</v>
      </c>
      <c r="D83" s="144"/>
      <c r="E83" s="144"/>
      <c r="F83" s="144"/>
      <c r="G83" s="144"/>
      <c r="H83" s="162">
        <v>659680</v>
      </c>
    </row>
    <row r="84" spans="1:11" ht="16.5" x14ac:dyDescent="0.35">
      <c r="B84" s="143" t="s">
        <v>483</v>
      </c>
      <c r="C84" s="153" t="s">
        <v>484</v>
      </c>
      <c r="D84" s="144"/>
      <c r="E84" s="144"/>
      <c r="F84" s="144"/>
      <c r="G84" s="144"/>
      <c r="H84" s="169">
        <v>410830</v>
      </c>
    </row>
    <row r="85" spans="1:11" x14ac:dyDescent="0.2">
      <c r="B85" s="181" t="s">
        <v>485</v>
      </c>
      <c r="C85" s="181"/>
      <c r="D85" s="181"/>
      <c r="E85" s="181"/>
      <c r="F85" s="181"/>
      <c r="G85" s="181"/>
      <c r="H85" s="165"/>
      <c r="I85" s="158">
        <f>SUM(H83:H84)</f>
        <v>1070510</v>
      </c>
    </row>
    <row r="86" spans="1:11" x14ac:dyDescent="0.2">
      <c r="B86" s="181"/>
      <c r="C86" s="181"/>
      <c r="D86" s="181"/>
      <c r="E86" s="181"/>
      <c r="F86" s="181"/>
      <c r="G86" s="181"/>
      <c r="H86" s="162"/>
    </row>
    <row r="87" spans="1:11" ht="15" x14ac:dyDescent="0.25">
      <c r="B87" s="143" t="s">
        <v>486</v>
      </c>
      <c r="C87" s="153" t="s">
        <v>249</v>
      </c>
      <c r="D87" s="144"/>
      <c r="E87" s="144"/>
      <c r="F87" s="144"/>
      <c r="G87" s="144"/>
      <c r="H87" s="162">
        <v>655750</v>
      </c>
    </row>
    <row r="88" spans="1:11" ht="15" x14ac:dyDescent="0.35">
      <c r="A88" t="s">
        <v>487</v>
      </c>
      <c r="B88" s="181" t="s">
        <v>487</v>
      </c>
      <c r="C88" s="181"/>
      <c r="D88" s="181"/>
      <c r="E88" s="181"/>
      <c r="F88" s="181"/>
      <c r="G88" s="181"/>
      <c r="H88" s="165"/>
      <c r="I88" s="131">
        <f>+H87</f>
        <v>655750</v>
      </c>
      <c r="K88" s="8"/>
    </row>
    <row r="89" spans="1:11" x14ac:dyDescent="0.2">
      <c r="B89" s="181" t="s">
        <v>488</v>
      </c>
      <c r="C89" s="181"/>
      <c r="D89" s="181"/>
      <c r="E89" s="181"/>
      <c r="F89" s="181"/>
      <c r="G89" s="181"/>
      <c r="H89" s="165"/>
    </row>
    <row r="90" spans="1:11" ht="15" x14ac:dyDescent="0.35">
      <c r="B90" s="141"/>
      <c r="C90" s="141"/>
      <c r="D90" s="136"/>
      <c r="E90" s="136"/>
      <c r="I90" s="131">
        <f>SUM(I33:I88)</f>
        <v>6799973</v>
      </c>
      <c r="K90" s="8"/>
    </row>
    <row r="92" spans="1:11" x14ac:dyDescent="0.2">
      <c r="B92" s="137" t="s">
        <v>629</v>
      </c>
      <c r="I92" s="158">
        <f>+I90+I30</f>
        <v>7849973</v>
      </c>
      <c r="K92" s="8"/>
    </row>
    <row r="93" spans="1:11" ht="15" x14ac:dyDescent="0.25">
      <c r="B93" s="144" t="s">
        <v>2</v>
      </c>
      <c r="C93" s="144"/>
      <c r="D93" s="144"/>
      <c r="E93" s="144"/>
      <c r="F93" s="155"/>
      <c r="G93" s="156">
        <v>0.06</v>
      </c>
      <c r="H93" s="166">
        <f>+I92*G93</f>
        <v>470998.38</v>
      </c>
    </row>
    <row r="94" spans="1:11" ht="15" x14ac:dyDescent="0.25">
      <c r="B94" s="144" t="s">
        <v>200</v>
      </c>
      <c r="C94" s="144"/>
      <c r="D94" s="144"/>
      <c r="E94" s="144"/>
      <c r="F94" s="155"/>
      <c r="G94" s="156">
        <v>0.02</v>
      </c>
      <c r="H94" s="166">
        <f>+I92*G94</f>
        <v>156999.46</v>
      </c>
    </row>
    <row r="95" spans="1:11" ht="16.5" x14ac:dyDescent="0.35">
      <c r="B95" s="144" t="s">
        <v>201</v>
      </c>
      <c r="C95" s="144"/>
      <c r="D95" s="144"/>
      <c r="E95" s="144"/>
      <c r="F95" s="155"/>
      <c r="G95" s="156">
        <v>0.06</v>
      </c>
      <c r="H95" s="168">
        <f>+I92*G95</f>
        <v>470998.38</v>
      </c>
    </row>
    <row r="96" spans="1:11" ht="15" x14ac:dyDescent="0.25">
      <c r="B96" s="144" t="s">
        <v>630</v>
      </c>
      <c r="C96" s="144"/>
      <c r="D96" s="144"/>
      <c r="E96" s="144"/>
      <c r="F96" s="155"/>
      <c r="G96" s="155"/>
      <c r="H96" s="167"/>
      <c r="I96" s="158">
        <f>SUM(H93:H95)</f>
        <v>1098996.22</v>
      </c>
    </row>
    <row r="97" spans="2:9" ht="15" x14ac:dyDescent="0.25">
      <c r="B97" s="144"/>
      <c r="C97" s="144"/>
      <c r="D97" s="144"/>
      <c r="E97" s="144"/>
      <c r="F97" s="155"/>
      <c r="G97" s="155"/>
      <c r="H97" s="166"/>
    </row>
    <row r="98" spans="2:9" x14ac:dyDescent="0.2">
      <c r="E98"/>
      <c r="I98" s="158">
        <f>+I96+I92</f>
        <v>8948969.2200000007</v>
      </c>
    </row>
    <row r="99" spans="2:9" x14ac:dyDescent="0.2">
      <c r="E99"/>
    </row>
    <row r="100" spans="2:9" x14ac:dyDescent="0.2">
      <c r="E100"/>
    </row>
    <row r="101" spans="2:9" x14ac:dyDescent="0.2">
      <c r="E101"/>
    </row>
    <row r="102" spans="2:9" x14ac:dyDescent="0.2">
      <c r="E102"/>
    </row>
    <row r="103" spans="2:9" x14ac:dyDescent="0.2">
      <c r="E103"/>
    </row>
    <row r="104" spans="2:9" x14ac:dyDescent="0.2">
      <c r="E104"/>
    </row>
    <row r="105" spans="2:9" x14ac:dyDescent="0.2">
      <c r="E105"/>
    </row>
    <row r="106" spans="2:9" x14ac:dyDescent="0.2">
      <c r="E106" s="138"/>
    </row>
    <row r="107" spans="2:9" x14ac:dyDescent="0.2">
      <c r="B107" s="142" t="s">
        <v>628</v>
      </c>
      <c r="E107"/>
    </row>
    <row r="108" spans="2:9" x14ac:dyDescent="0.2">
      <c r="D108" s="139"/>
      <c r="E108" s="135"/>
    </row>
    <row r="109" spans="2:9" x14ac:dyDescent="0.2">
      <c r="E109"/>
    </row>
    <row r="110" spans="2:9" x14ac:dyDescent="0.2">
      <c r="B110" s="137"/>
    </row>
    <row r="111" spans="2:9" x14ac:dyDescent="0.2">
      <c r="B111" s="137"/>
    </row>
    <row r="112" spans="2:9" x14ac:dyDescent="0.2">
      <c r="B112" s="137"/>
    </row>
    <row r="113" spans="2:6" x14ac:dyDescent="0.2">
      <c r="B113" s="137"/>
    </row>
    <row r="116" spans="2:6" x14ac:dyDescent="0.2">
      <c r="C116" s="63"/>
    </row>
    <row r="117" spans="2:6" x14ac:dyDescent="0.2">
      <c r="C117" s="63"/>
      <c r="F117" s="140"/>
    </row>
    <row r="121" spans="2:6" x14ac:dyDescent="0.2">
      <c r="B121" s="137"/>
    </row>
    <row r="122" spans="2:6" x14ac:dyDescent="0.2">
      <c r="C122" s="63"/>
    </row>
    <row r="124" spans="2:6" x14ac:dyDescent="0.2">
      <c r="C124" s="63"/>
    </row>
    <row r="125" spans="2:6" x14ac:dyDescent="0.2">
      <c r="C125" s="63"/>
    </row>
    <row r="126" spans="2:6" x14ac:dyDescent="0.2">
      <c r="C126" s="63"/>
    </row>
    <row r="131" spans="3:3" x14ac:dyDescent="0.2">
      <c r="C131" s="63"/>
    </row>
  </sheetData>
  <mergeCells count="36">
    <mergeCell ref="B18:G18"/>
    <mergeCell ref="B37:G37"/>
    <mergeCell ref="B78:G78"/>
    <mergeCell ref="B79:G79"/>
    <mergeCell ref="B89:G89"/>
    <mergeCell ref="B72:G72"/>
    <mergeCell ref="B73:G73"/>
    <mergeCell ref="B75:G75"/>
    <mergeCell ref="B76:G76"/>
    <mergeCell ref="B81:G81"/>
    <mergeCell ref="B82:G82"/>
    <mergeCell ref="B85:G85"/>
    <mergeCell ref="B86:G86"/>
    <mergeCell ref="B88:G88"/>
    <mergeCell ref="B69:G69"/>
    <mergeCell ref="B39:G39"/>
    <mergeCell ref="B40:G40"/>
    <mergeCell ref="B44:G44"/>
    <mergeCell ref="B45:G45"/>
    <mergeCell ref="B51:G51"/>
    <mergeCell ref="B52:G52"/>
    <mergeCell ref="B56:G56"/>
    <mergeCell ref="B57:G57"/>
    <mergeCell ref="B64:G64"/>
    <mergeCell ref="B65:G65"/>
    <mergeCell ref="B68:G68"/>
    <mergeCell ref="B2:G2"/>
    <mergeCell ref="B3:G3"/>
    <mergeCell ref="B4:G4"/>
    <mergeCell ref="B10:G10"/>
    <mergeCell ref="B17:G17"/>
    <mergeCell ref="B30:G30"/>
    <mergeCell ref="B31:G31"/>
    <mergeCell ref="B33:G33"/>
    <mergeCell ref="B34:G34"/>
    <mergeCell ref="B36:G36"/>
  </mergeCells>
  <pageMargins left="0.7" right="0.7" top="0.75" bottom="0.75" header="0.3" footer="0.3"/>
  <pageSetup scale="6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4"/>
  <sheetViews>
    <sheetView workbookViewId="0">
      <selection activeCell="E8" sqref="E8"/>
    </sheetView>
  </sheetViews>
  <sheetFormatPr defaultRowHeight="12.75" x14ac:dyDescent="0.2"/>
  <cols>
    <col min="1" max="1" width="46.28515625" customWidth="1"/>
    <col min="4" max="4" width="14.28515625" bestFit="1" customWidth="1"/>
  </cols>
  <sheetData>
    <row r="1" spans="1:7" x14ac:dyDescent="0.2">
      <c r="A1" t="str">
        <f>+SUMMARY!B1</f>
        <v>MVHO - TINY HOME COMMUNITY</v>
      </c>
    </row>
    <row r="2" spans="1:7" x14ac:dyDescent="0.2">
      <c r="A2" s="63" t="s">
        <v>531</v>
      </c>
    </row>
    <row r="3" spans="1:7" x14ac:dyDescent="0.2">
      <c r="A3" s="117" t="str">
        <f>+SUMMARY!B3</f>
        <v>SEPTEMBER 12, 2023</v>
      </c>
    </row>
    <row r="4" spans="1:7" x14ac:dyDescent="0.2">
      <c r="E4" s="63" t="s">
        <v>496</v>
      </c>
      <c r="F4" s="63" t="s">
        <v>497</v>
      </c>
      <c r="G4" s="63" t="s">
        <v>312</v>
      </c>
    </row>
    <row r="5" spans="1:7" x14ac:dyDescent="0.2">
      <c r="A5" s="1" t="s">
        <v>502</v>
      </c>
      <c r="D5" s="3"/>
    </row>
    <row r="6" spans="1:7" x14ac:dyDescent="0.2">
      <c r="A6" s="63" t="s">
        <v>494</v>
      </c>
      <c r="D6" s="3">
        <f>+SUMMARY!E104</f>
        <v>0</v>
      </c>
    </row>
    <row r="7" spans="1:7" x14ac:dyDescent="0.2">
      <c r="A7" s="63" t="s">
        <v>495</v>
      </c>
      <c r="D7" s="3">
        <v>1000000</v>
      </c>
    </row>
    <row r="8" spans="1:7" x14ac:dyDescent="0.2">
      <c r="A8" s="63" t="s">
        <v>527</v>
      </c>
      <c r="D8" s="3">
        <f>+D7-D6</f>
        <v>1000000</v>
      </c>
      <c r="E8">
        <v>1</v>
      </c>
      <c r="F8">
        <v>0.2</v>
      </c>
      <c r="G8" s="53">
        <f>+E8*F8</f>
        <v>0.2</v>
      </c>
    </row>
    <row r="9" spans="1:7" x14ac:dyDescent="0.2">
      <c r="A9" s="63" t="s">
        <v>528</v>
      </c>
      <c r="D9" s="3">
        <f>50000-D8</f>
        <v>-950000</v>
      </c>
      <c r="G9" s="53"/>
    </row>
    <row r="10" spans="1:7" x14ac:dyDescent="0.2">
      <c r="A10" s="63" t="s">
        <v>509</v>
      </c>
      <c r="D10" s="3">
        <f>+D9*10*SUMMARY!E106</f>
        <v>0</v>
      </c>
      <c r="G10" s="53"/>
    </row>
    <row r="11" spans="1:7" x14ac:dyDescent="0.2">
      <c r="D11" s="3"/>
      <c r="G11" s="53"/>
    </row>
    <row r="12" spans="1:7" x14ac:dyDescent="0.2">
      <c r="A12" s="1" t="s">
        <v>498</v>
      </c>
      <c r="D12" s="3"/>
      <c r="G12" s="53"/>
    </row>
    <row r="13" spans="1:7" x14ac:dyDescent="0.2">
      <c r="A13" s="63" t="s">
        <v>499</v>
      </c>
      <c r="D13" s="3">
        <f ca="1">+SUMMARY!F67</f>
        <v>6091410.8897742359</v>
      </c>
      <c r="G13" s="53"/>
    </row>
    <row r="14" spans="1:7" x14ac:dyDescent="0.2">
      <c r="A14" s="63" t="s">
        <v>500</v>
      </c>
      <c r="D14" s="3">
        <v>63019</v>
      </c>
      <c r="G14" s="53"/>
    </row>
    <row r="15" spans="1:7" x14ac:dyDescent="0.2">
      <c r="A15" s="63" t="s">
        <v>501</v>
      </c>
      <c r="D15" s="53">
        <f ca="1">+D13/D14</f>
        <v>96.659910340916795</v>
      </c>
      <c r="E15">
        <f ca="1">VLOOKUP(D15,TDC,2)</f>
        <v>10</v>
      </c>
      <c r="F15">
        <v>0.2</v>
      </c>
      <c r="G15" s="53">
        <f ca="1">+E15*F15</f>
        <v>2</v>
      </c>
    </row>
    <row r="16" spans="1:7" x14ac:dyDescent="0.2">
      <c r="A16" s="63" t="s">
        <v>504</v>
      </c>
      <c r="D16" s="3">
        <f ca="1">+(D15-B64)*D14</f>
        <v>-4936914.1102257641</v>
      </c>
      <c r="G16" s="53"/>
    </row>
    <row r="17" spans="1:7" x14ac:dyDescent="0.2">
      <c r="A17" s="63" t="s">
        <v>529</v>
      </c>
      <c r="D17" s="3">
        <f ca="1">+(B65-D15)*D14</f>
        <v>5882199.1102257641</v>
      </c>
      <c r="G17" s="53"/>
    </row>
    <row r="18" spans="1:7" x14ac:dyDescent="0.2">
      <c r="A18" s="63"/>
      <c r="D18" s="3"/>
      <c r="G18" s="53"/>
    </row>
    <row r="19" spans="1:7" x14ac:dyDescent="0.2">
      <c r="D19" s="3"/>
      <c r="G19" s="53"/>
    </row>
    <row r="20" spans="1:7" x14ac:dyDescent="0.2">
      <c r="A20" s="1" t="s">
        <v>505</v>
      </c>
      <c r="D20" s="3"/>
    </row>
    <row r="21" spans="1:7" x14ac:dyDescent="0.2">
      <c r="A21" s="63" t="s">
        <v>494</v>
      </c>
      <c r="D21" s="3">
        <f>+D6</f>
        <v>0</v>
      </c>
    </row>
    <row r="22" spans="1:7" x14ac:dyDescent="0.2">
      <c r="A22" s="63" t="s">
        <v>506</v>
      </c>
      <c r="D22" s="3">
        <f>+'SUMMARY PROFORMA'!C22</f>
        <v>40</v>
      </c>
    </row>
    <row r="23" spans="1:7" x14ac:dyDescent="0.2">
      <c r="A23" s="63" t="s">
        <v>507</v>
      </c>
      <c r="D23" s="3">
        <f>+D21/D22</f>
        <v>0</v>
      </c>
      <c r="E23" t="e">
        <f>VLOOKUP(D23,LIHTC_PER,2)</f>
        <v>#N/A</v>
      </c>
      <c r="F23">
        <v>0.2</v>
      </c>
      <c r="G23" s="53" t="e">
        <f>+E23*F23</f>
        <v>#N/A</v>
      </c>
    </row>
    <row r="24" spans="1:7" x14ac:dyDescent="0.2">
      <c r="A24" s="63" t="s">
        <v>508</v>
      </c>
      <c r="D24" s="3">
        <f>+(D23-12999.95)*D22</f>
        <v>-519998</v>
      </c>
    </row>
    <row r="25" spans="1:7" x14ac:dyDescent="0.2">
      <c r="A25" s="63" t="s">
        <v>509</v>
      </c>
      <c r="D25" s="3">
        <f>+D24*10*SUMMARY!E106</f>
        <v>0</v>
      </c>
    </row>
    <row r="26" spans="1:7" x14ac:dyDescent="0.2">
      <c r="D26" s="3"/>
    </row>
    <row r="27" spans="1:7" x14ac:dyDescent="0.2">
      <c r="A27" s="1" t="s">
        <v>510</v>
      </c>
      <c r="D27" s="3"/>
    </row>
    <row r="28" spans="1:7" x14ac:dyDescent="0.2">
      <c r="A28" s="63" t="s">
        <v>499</v>
      </c>
      <c r="D28" s="3">
        <f ca="1">+D13</f>
        <v>6091410.8897742359</v>
      </c>
    </row>
    <row r="29" spans="1:7" x14ac:dyDescent="0.2">
      <c r="A29" s="63" t="s">
        <v>506</v>
      </c>
      <c r="D29" s="3">
        <f>+D22</f>
        <v>40</v>
      </c>
    </row>
    <row r="30" spans="1:7" x14ac:dyDescent="0.2">
      <c r="A30" s="63" t="s">
        <v>510</v>
      </c>
      <c r="D30" s="3">
        <f ca="1">+D28/D29</f>
        <v>152285.2722443559</v>
      </c>
      <c r="E30">
        <f ca="1">VLOOKUP(D30,TDC_PER_UNIT,2)</f>
        <v>7</v>
      </c>
      <c r="F30">
        <v>0.2</v>
      </c>
      <c r="G30">
        <f ca="1">+E30*F30</f>
        <v>1.4000000000000001</v>
      </c>
    </row>
    <row r="31" spans="1:7" x14ac:dyDescent="0.2">
      <c r="A31" s="63" t="s">
        <v>511</v>
      </c>
      <c r="D31" s="3">
        <f ca="1">+(D30-159999)*D29</f>
        <v>-308549.11022576387</v>
      </c>
    </row>
    <row r="32" spans="1:7" x14ac:dyDescent="0.2">
      <c r="D32" s="3"/>
    </row>
    <row r="33" spans="1:7" x14ac:dyDescent="0.2">
      <c r="A33" s="1" t="s">
        <v>512</v>
      </c>
      <c r="D33" s="3"/>
    </row>
    <row r="34" spans="1:7" x14ac:dyDescent="0.2">
      <c r="A34" s="63" t="s">
        <v>513</v>
      </c>
      <c r="D34">
        <f>+'SUMMARY PROFORMA'!D12</f>
        <v>40</v>
      </c>
    </row>
    <row r="35" spans="1:7" x14ac:dyDescent="0.2">
      <c r="A35" s="63" t="s">
        <v>514</v>
      </c>
      <c r="D35" s="8">
        <f>+D29</f>
        <v>40</v>
      </c>
    </row>
    <row r="36" spans="1:7" x14ac:dyDescent="0.2">
      <c r="A36" s="63" t="s">
        <v>512</v>
      </c>
      <c r="D36" s="10">
        <f>+D34/D35</f>
        <v>1</v>
      </c>
      <c r="E36">
        <f>VLOOKUP(D36,ELI,2)</f>
        <v>10</v>
      </c>
      <c r="F36">
        <v>0.05</v>
      </c>
      <c r="G36">
        <f>+E36*F36</f>
        <v>0.5</v>
      </c>
    </row>
    <row r="37" spans="1:7" x14ac:dyDescent="0.2">
      <c r="A37" s="63" t="s">
        <v>516</v>
      </c>
      <c r="D37" s="3">
        <f>ROUND((0.16-D36)*D35+0.5,0)</f>
        <v>-33</v>
      </c>
    </row>
    <row r="38" spans="1:7" x14ac:dyDescent="0.2">
      <c r="A38" s="63" t="s">
        <v>517</v>
      </c>
      <c r="D38" s="3">
        <f>+ROUND(D37+0.5,0)*('SUMMARY PROFORMA'!K13-'SUMMARY PROFORMA'!K12)*12*(1-'SUMMARY PROFORMA'!K25)</f>
        <v>25411.32</v>
      </c>
    </row>
    <row r="39" spans="1:7" x14ac:dyDescent="0.2">
      <c r="A39" s="63" t="s">
        <v>530</v>
      </c>
      <c r="D39" s="3" t="e">
        <f>PV(SUMMARY!#REF!/12,SUMMARY!E135*12,'OHFA TIE-BREAK SCORING'!D38/(12*SUMMARY!E133))*0.98</f>
        <v>#REF!</v>
      </c>
    </row>
    <row r="41" spans="1:7" x14ac:dyDescent="0.2">
      <c r="A41" s="1" t="s">
        <v>518</v>
      </c>
    </row>
    <row r="42" spans="1:7" x14ac:dyDescent="0.2">
      <c r="A42" s="63" t="s">
        <v>519</v>
      </c>
      <c r="E42">
        <v>5</v>
      </c>
      <c r="F42">
        <v>0.05</v>
      </c>
      <c r="G42">
        <f>+F42*E42</f>
        <v>0.25</v>
      </c>
    </row>
    <row r="44" spans="1:7" x14ac:dyDescent="0.2">
      <c r="A44" s="1" t="s">
        <v>520</v>
      </c>
    </row>
    <row r="45" spans="1:7" x14ac:dyDescent="0.2">
      <c r="A45" s="63" t="s">
        <v>521</v>
      </c>
      <c r="D45">
        <f>+SUMMARY!E137</f>
        <v>0</v>
      </c>
    </row>
    <row r="46" spans="1:7" x14ac:dyDescent="0.2">
      <c r="A46" s="63" t="s">
        <v>522</v>
      </c>
      <c r="D46" s="8">
        <f ca="1">+D28</f>
        <v>6091410.8897742359</v>
      </c>
    </row>
    <row r="47" spans="1:7" x14ac:dyDescent="0.2">
      <c r="A47" s="63" t="s">
        <v>523</v>
      </c>
      <c r="D47" s="14">
        <f ca="1">+D45/D46</f>
        <v>0</v>
      </c>
      <c r="E47">
        <f ca="1">IF(D47&lt;0.15,5,0)</f>
        <v>5</v>
      </c>
      <c r="F47">
        <v>0.05</v>
      </c>
      <c r="G47">
        <f ca="1">+E47*F47</f>
        <v>0.25</v>
      </c>
    </row>
    <row r="48" spans="1:7" x14ac:dyDescent="0.2">
      <c r="A48" s="63"/>
      <c r="D48" s="14"/>
    </row>
    <row r="49" spans="1:7" x14ac:dyDescent="0.2">
      <c r="A49" s="1" t="s">
        <v>524</v>
      </c>
      <c r="D49" s="14"/>
    </row>
    <row r="50" spans="1:7" x14ac:dyDescent="0.2">
      <c r="A50" s="63" t="s">
        <v>524</v>
      </c>
      <c r="D50" s="3">
        <f>+SUMMARY!F83</f>
        <v>0</v>
      </c>
    </row>
    <row r="51" spans="1:7" x14ac:dyDescent="0.2">
      <c r="A51" s="63" t="s">
        <v>522</v>
      </c>
      <c r="D51" s="3">
        <f ca="1">+D28</f>
        <v>6091410.8897742359</v>
      </c>
    </row>
    <row r="52" spans="1:7" x14ac:dyDescent="0.2">
      <c r="A52" s="63" t="s">
        <v>525</v>
      </c>
      <c r="D52" s="10">
        <f ca="1">+D50/D51</f>
        <v>0</v>
      </c>
      <c r="E52">
        <f ca="1">IF(D52&lt;0.15,5,0)</f>
        <v>5</v>
      </c>
      <c r="F52">
        <v>0.05</v>
      </c>
      <c r="G52" s="11">
        <f ca="1">+E52*F52</f>
        <v>0.25</v>
      </c>
    </row>
    <row r="53" spans="1:7" x14ac:dyDescent="0.2">
      <c r="A53" s="63"/>
      <c r="D53" s="10"/>
    </row>
    <row r="54" spans="1:7" x14ac:dyDescent="0.2">
      <c r="A54" s="63" t="s">
        <v>526</v>
      </c>
      <c r="D54" s="10"/>
      <c r="G54" t="e">
        <f ca="1">SUM(G6:G52)</f>
        <v>#N/A</v>
      </c>
    </row>
    <row r="55" spans="1:7" x14ac:dyDescent="0.2">
      <c r="A55" s="63"/>
      <c r="D55" s="10"/>
    </row>
    <row r="56" spans="1:7" x14ac:dyDescent="0.2">
      <c r="A56" s="63"/>
      <c r="D56" s="10"/>
    </row>
    <row r="57" spans="1:7" x14ac:dyDescent="0.2">
      <c r="A57" s="63" t="s">
        <v>503</v>
      </c>
    </row>
    <row r="58" spans="1:7" x14ac:dyDescent="0.2">
      <c r="B58" s="65">
        <v>1</v>
      </c>
      <c r="C58">
        <v>10</v>
      </c>
    </row>
    <row r="59" spans="1:7" x14ac:dyDescent="0.2">
      <c r="B59" s="6">
        <v>100</v>
      </c>
      <c r="C59">
        <v>9</v>
      </c>
    </row>
    <row r="60" spans="1:7" x14ac:dyDescent="0.2">
      <c r="B60" s="6">
        <v>115</v>
      </c>
      <c r="C60">
        <v>8</v>
      </c>
    </row>
    <row r="61" spans="1:7" x14ac:dyDescent="0.2">
      <c r="B61" s="6">
        <v>130</v>
      </c>
      <c r="C61">
        <v>7</v>
      </c>
    </row>
    <row r="62" spans="1:7" x14ac:dyDescent="0.2">
      <c r="B62" s="6">
        <v>145</v>
      </c>
      <c r="C62">
        <v>6</v>
      </c>
    </row>
    <row r="63" spans="1:7" x14ac:dyDescent="0.2">
      <c r="B63" s="6">
        <v>160</v>
      </c>
      <c r="C63">
        <v>5</v>
      </c>
    </row>
    <row r="64" spans="1:7" x14ac:dyDescent="0.2">
      <c r="B64" s="6">
        <v>175</v>
      </c>
      <c r="C64">
        <v>4</v>
      </c>
    </row>
    <row r="65" spans="1:3" x14ac:dyDescent="0.2">
      <c r="B65" s="6">
        <v>190</v>
      </c>
      <c r="C65">
        <v>3</v>
      </c>
    </row>
    <row r="66" spans="1:3" x14ac:dyDescent="0.2">
      <c r="B66" s="6">
        <v>205</v>
      </c>
      <c r="C66">
        <v>2</v>
      </c>
    </row>
    <row r="67" spans="1:3" x14ac:dyDescent="0.2">
      <c r="B67" s="6">
        <v>220</v>
      </c>
      <c r="C67">
        <v>1</v>
      </c>
    </row>
    <row r="68" spans="1:3" x14ac:dyDescent="0.2">
      <c r="B68" s="6">
        <v>235</v>
      </c>
      <c r="C68">
        <v>0</v>
      </c>
    </row>
    <row r="70" spans="1:3" x14ac:dyDescent="0.2">
      <c r="A70" s="63" t="s">
        <v>505</v>
      </c>
      <c r="B70" s="6">
        <v>1</v>
      </c>
      <c r="C70">
        <v>10</v>
      </c>
    </row>
    <row r="71" spans="1:3" x14ac:dyDescent="0.2">
      <c r="B71" s="6">
        <v>6000</v>
      </c>
      <c r="C71">
        <v>9</v>
      </c>
    </row>
    <row r="72" spans="1:3" x14ac:dyDescent="0.2">
      <c r="B72" s="6">
        <v>8000</v>
      </c>
      <c r="C72">
        <v>8</v>
      </c>
    </row>
    <row r="73" spans="1:3" x14ac:dyDescent="0.2">
      <c r="B73" s="6">
        <v>10000</v>
      </c>
      <c r="C73">
        <v>7</v>
      </c>
    </row>
    <row r="74" spans="1:3" x14ac:dyDescent="0.2">
      <c r="B74" s="6">
        <v>12000</v>
      </c>
      <c r="C74">
        <v>6</v>
      </c>
    </row>
    <row r="75" spans="1:3" x14ac:dyDescent="0.2">
      <c r="B75" s="6">
        <v>14000</v>
      </c>
      <c r="C75">
        <v>5</v>
      </c>
    </row>
    <row r="76" spans="1:3" x14ac:dyDescent="0.2">
      <c r="B76" s="6">
        <v>16000</v>
      </c>
      <c r="C76">
        <v>4</v>
      </c>
    </row>
    <row r="77" spans="1:3" x14ac:dyDescent="0.2">
      <c r="B77" s="6">
        <v>18000</v>
      </c>
      <c r="C77">
        <v>3</v>
      </c>
    </row>
    <row r="78" spans="1:3" x14ac:dyDescent="0.2">
      <c r="B78" s="6">
        <v>20000</v>
      </c>
      <c r="C78">
        <v>2</v>
      </c>
    </row>
    <row r="79" spans="1:3" x14ac:dyDescent="0.2">
      <c r="B79" s="6">
        <v>22000</v>
      </c>
      <c r="C79">
        <v>1</v>
      </c>
    </row>
    <row r="80" spans="1:3" x14ac:dyDescent="0.2">
      <c r="B80" s="6">
        <v>24000</v>
      </c>
      <c r="C80">
        <v>0</v>
      </c>
    </row>
    <row r="82" spans="1:3" x14ac:dyDescent="0.2">
      <c r="A82" s="63" t="s">
        <v>510</v>
      </c>
      <c r="B82" s="6">
        <v>1</v>
      </c>
      <c r="C82">
        <v>10</v>
      </c>
    </row>
    <row r="83" spans="1:3" x14ac:dyDescent="0.2">
      <c r="B83" s="6">
        <v>100000</v>
      </c>
      <c r="C83">
        <v>9</v>
      </c>
    </row>
    <row r="84" spans="1:3" x14ac:dyDescent="0.2">
      <c r="B84" s="6">
        <v>120000</v>
      </c>
      <c r="C84">
        <v>8</v>
      </c>
    </row>
    <row r="85" spans="1:3" x14ac:dyDescent="0.2">
      <c r="B85" s="6">
        <v>140000</v>
      </c>
      <c r="C85">
        <v>7</v>
      </c>
    </row>
    <row r="86" spans="1:3" x14ac:dyDescent="0.2">
      <c r="B86" s="6">
        <v>160000</v>
      </c>
      <c r="C86">
        <v>6</v>
      </c>
    </row>
    <row r="87" spans="1:3" x14ac:dyDescent="0.2">
      <c r="B87" s="6">
        <v>180000</v>
      </c>
      <c r="C87">
        <v>5</v>
      </c>
    </row>
    <row r="88" spans="1:3" x14ac:dyDescent="0.2">
      <c r="B88" s="6">
        <v>200000</v>
      </c>
      <c r="C88">
        <v>4</v>
      </c>
    </row>
    <row r="89" spans="1:3" x14ac:dyDescent="0.2">
      <c r="B89">
        <f>+B88+20000</f>
        <v>220000</v>
      </c>
      <c r="C89">
        <v>3</v>
      </c>
    </row>
    <row r="90" spans="1:3" x14ac:dyDescent="0.2">
      <c r="B90">
        <f t="shared" ref="B90:B92" si="0">+B89+20000</f>
        <v>240000</v>
      </c>
      <c r="C90">
        <v>2</v>
      </c>
    </row>
    <row r="91" spans="1:3" x14ac:dyDescent="0.2">
      <c r="B91">
        <f t="shared" si="0"/>
        <v>260000</v>
      </c>
      <c r="C91">
        <v>1</v>
      </c>
    </row>
    <row r="92" spans="1:3" x14ac:dyDescent="0.2">
      <c r="B92">
        <f t="shared" si="0"/>
        <v>280000</v>
      </c>
      <c r="C92">
        <v>0</v>
      </c>
    </row>
    <row r="94" spans="1:3" x14ac:dyDescent="0.2">
      <c r="A94" s="63" t="s">
        <v>515</v>
      </c>
      <c r="B94" s="9">
        <v>0</v>
      </c>
      <c r="C94">
        <v>0</v>
      </c>
    </row>
    <row r="95" spans="1:3" x14ac:dyDescent="0.2">
      <c r="B95" s="9">
        <v>0.05</v>
      </c>
      <c r="C95">
        <v>1</v>
      </c>
    </row>
    <row r="96" spans="1:3" x14ac:dyDescent="0.2">
      <c r="B96" s="9">
        <v>0.1</v>
      </c>
      <c r="C96">
        <v>2</v>
      </c>
    </row>
    <row r="97" spans="2:3" x14ac:dyDescent="0.2">
      <c r="B97" s="9">
        <v>0.12</v>
      </c>
      <c r="C97">
        <v>3</v>
      </c>
    </row>
    <row r="98" spans="2:3" x14ac:dyDescent="0.2">
      <c r="B98" s="9">
        <v>0.14000000000000001</v>
      </c>
      <c r="C98">
        <v>4</v>
      </c>
    </row>
    <row r="99" spans="2:3" x14ac:dyDescent="0.2">
      <c r="B99" s="9">
        <v>0.16</v>
      </c>
      <c r="C99">
        <v>5</v>
      </c>
    </row>
    <row r="100" spans="2:3" x14ac:dyDescent="0.2">
      <c r="B100" s="9">
        <v>0.18</v>
      </c>
      <c r="C100">
        <v>6</v>
      </c>
    </row>
    <row r="101" spans="2:3" x14ac:dyDescent="0.2">
      <c r="B101" s="9">
        <v>0.2</v>
      </c>
      <c r="C101">
        <v>7</v>
      </c>
    </row>
    <row r="102" spans="2:3" x14ac:dyDescent="0.2">
      <c r="B102" s="9">
        <v>0.22</v>
      </c>
      <c r="C102">
        <v>8</v>
      </c>
    </row>
    <row r="103" spans="2:3" x14ac:dyDescent="0.2">
      <c r="B103" s="9">
        <v>0.24</v>
      </c>
      <c r="C103">
        <v>9</v>
      </c>
    </row>
    <row r="104" spans="2:3" x14ac:dyDescent="0.2">
      <c r="B104" s="9">
        <v>0.26</v>
      </c>
      <c r="C104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2"/>
  <sheetViews>
    <sheetView topLeftCell="A22" workbookViewId="0">
      <selection activeCell="F44" sqref="F44"/>
    </sheetView>
  </sheetViews>
  <sheetFormatPr defaultRowHeight="12.75" x14ac:dyDescent="0.2"/>
  <cols>
    <col min="1" max="1" width="56.85546875" bestFit="1" customWidth="1"/>
    <col min="2" max="2" width="26.42578125" style="3" hidden="1" customWidth="1"/>
    <col min="3" max="3" width="9.140625" hidden="1" customWidth="1"/>
    <col min="4" max="4" width="12.85546875" style="3" hidden="1" customWidth="1"/>
    <col min="5" max="5" width="4" customWidth="1"/>
    <col min="6" max="6" width="14.7109375" customWidth="1"/>
    <col min="7" max="7" width="13.140625" customWidth="1"/>
    <col min="11" max="11" width="39.140625" bestFit="1" customWidth="1"/>
  </cols>
  <sheetData>
    <row r="1" spans="1:7" x14ac:dyDescent="0.2">
      <c r="A1" s="63" t="str">
        <f>+SUMMARY!B1</f>
        <v>MVHO - TINY HOME COMMUNITY</v>
      </c>
    </row>
    <row r="2" spans="1:7" x14ac:dyDescent="0.2">
      <c r="A2" s="63" t="s">
        <v>261</v>
      </c>
    </row>
    <row r="3" spans="1:7" x14ac:dyDescent="0.2">
      <c r="A3" s="63" t="str">
        <f>+SUMMARY!B3</f>
        <v>SEPTEMBER 12, 2023</v>
      </c>
      <c r="G3" s="63"/>
    </row>
    <row r="4" spans="1:7" x14ac:dyDescent="0.2">
      <c r="G4" s="63"/>
    </row>
    <row r="5" spans="1:7" x14ac:dyDescent="0.2">
      <c r="D5" s="87" t="s">
        <v>262</v>
      </c>
      <c r="E5" s="6"/>
      <c r="F5" s="65"/>
      <c r="G5" s="63"/>
    </row>
    <row r="6" spans="1:7" x14ac:dyDescent="0.2">
      <c r="A6" s="66" t="s">
        <v>208</v>
      </c>
      <c r="B6" s="79" t="s">
        <v>202</v>
      </c>
      <c r="D6" s="88">
        <v>42822</v>
      </c>
    </row>
    <row r="7" spans="1:7" ht="13.5" thickBot="1" x14ac:dyDescent="0.25">
      <c r="A7" s="67" t="s">
        <v>209</v>
      </c>
      <c r="B7" s="80"/>
    </row>
    <row r="8" spans="1:7" ht="13.5" thickBot="1" x14ac:dyDescent="0.25">
      <c r="A8" s="68" t="s">
        <v>210</v>
      </c>
      <c r="B8" s="81">
        <v>58500</v>
      </c>
      <c r="D8" s="3">
        <v>123500</v>
      </c>
      <c r="F8" s="8"/>
    </row>
    <row r="9" spans="1:7" ht="13.5" thickBot="1" x14ac:dyDescent="0.25">
      <c r="A9" s="68" t="s">
        <v>211</v>
      </c>
      <c r="B9" s="81"/>
      <c r="D9" s="3">
        <v>5000</v>
      </c>
      <c r="F9" s="8"/>
    </row>
    <row r="10" spans="1:7" ht="13.5" thickBot="1" x14ac:dyDescent="0.25">
      <c r="A10" s="68" t="s">
        <v>212</v>
      </c>
      <c r="B10" s="81">
        <v>79200</v>
      </c>
      <c r="D10" s="3">
        <v>182034</v>
      </c>
      <c r="F10" s="8"/>
    </row>
    <row r="11" spans="1:7" ht="13.5" thickBot="1" x14ac:dyDescent="0.25">
      <c r="A11" s="68" t="s">
        <v>213</v>
      </c>
      <c r="B11" s="81">
        <f>9750+25000</f>
        <v>34750</v>
      </c>
      <c r="D11" s="3">
        <v>9750</v>
      </c>
      <c r="F11" s="8"/>
    </row>
    <row r="12" spans="1:7" ht="13.5" thickBot="1" x14ac:dyDescent="0.25">
      <c r="A12" s="68" t="s">
        <v>214</v>
      </c>
      <c r="B12" s="81">
        <v>35000</v>
      </c>
      <c r="D12" s="3">
        <v>35000</v>
      </c>
      <c r="F12" s="8"/>
    </row>
    <row r="13" spans="1:7" ht="13.5" thickBot="1" x14ac:dyDescent="0.25">
      <c r="A13" s="68" t="s">
        <v>215</v>
      </c>
      <c r="B13" s="81">
        <v>127360</v>
      </c>
      <c r="D13" s="3">
        <v>127360</v>
      </c>
      <c r="F13" s="8"/>
    </row>
    <row r="14" spans="1:7" ht="13.5" thickBot="1" x14ac:dyDescent="0.25">
      <c r="A14" s="68" t="s">
        <v>216</v>
      </c>
      <c r="B14" s="81"/>
      <c r="F14" s="8"/>
    </row>
    <row r="15" spans="1:7" ht="13.5" thickBot="1" x14ac:dyDescent="0.25">
      <c r="A15" s="68" t="s">
        <v>217</v>
      </c>
      <c r="B15" s="81"/>
      <c r="F15" s="8"/>
    </row>
    <row r="16" spans="1:7" ht="13.5" thickBot="1" x14ac:dyDescent="0.25">
      <c r="A16" s="69"/>
      <c r="B16" s="81"/>
      <c r="F16" s="8"/>
    </row>
    <row r="17" spans="1:7" ht="13.5" thickBot="1" x14ac:dyDescent="0.25">
      <c r="A17" s="69" t="s">
        <v>218</v>
      </c>
      <c r="B17" s="81"/>
    </row>
    <row r="18" spans="1:7" ht="13.5" thickBot="1" x14ac:dyDescent="0.25">
      <c r="A18" s="70"/>
      <c r="B18" s="82"/>
    </row>
    <row r="19" spans="1:7" ht="13.5" thickBot="1" x14ac:dyDescent="0.25">
      <c r="A19" s="71" t="s">
        <v>219</v>
      </c>
      <c r="B19" s="83">
        <f>SUM(B8:B17)</f>
        <v>334810</v>
      </c>
      <c r="D19" s="3">
        <f>SUM(D8:D18)</f>
        <v>482644</v>
      </c>
      <c r="G19" s="8"/>
    </row>
    <row r="20" spans="1:7" x14ac:dyDescent="0.2">
      <c r="A20" s="70"/>
      <c r="B20" s="82"/>
    </row>
    <row r="21" spans="1:7" x14ac:dyDescent="0.2">
      <c r="A21" s="74"/>
      <c r="B21" s="84"/>
    </row>
    <row r="22" spans="1:7" ht="13.5" thickBot="1" x14ac:dyDescent="0.25">
      <c r="A22" s="75" t="s">
        <v>220</v>
      </c>
      <c r="B22" s="84"/>
    </row>
    <row r="23" spans="1:7" ht="13.5" thickBot="1" x14ac:dyDescent="0.25">
      <c r="A23" s="73" t="s">
        <v>221</v>
      </c>
      <c r="B23" s="85">
        <v>38788</v>
      </c>
      <c r="D23" s="3">
        <v>26145</v>
      </c>
      <c r="F23">
        <v>410000</v>
      </c>
      <c r="G23">
        <f>ROUND(+F23*F$58/F$57,0)</f>
        <v>355214</v>
      </c>
    </row>
    <row r="24" spans="1:7" ht="13.5" thickBot="1" x14ac:dyDescent="0.25">
      <c r="A24" s="73" t="s">
        <v>222</v>
      </c>
      <c r="B24" s="85">
        <v>75000</v>
      </c>
      <c r="D24" s="3">
        <v>57500</v>
      </c>
      <c r="F24">
        <v>358750</v>
      </c>
      <c r="G24">
        <f t="shared" ref="G24:G55" si="0">ROUND(+F24*F$58/F$57,0)</f>
        <v>310812</v>
      </c>
    </row>
    <row r="25" spans="1:7" ht="13.5" thickBot="1" x14ac:dyDescent="0.25">
      <c r="A25" s="73" t="s">
        <v>223</v>
      </c>
      <c r="B25" s="85">
        <v>19400</v>
      </c>
      <c r="D25" s="3">
        <v>12950</v>
      </c>
      <c r="F25" s="3"/>
      <c r="G25">
        <f t="shared" si="0"/>
        <v>0</v>
      </c>
    </row>
    <row r="26" spans="1:7" ht="13.5" thickBot="1" x14ac:dyDescent="0.25">
      <c r="A26" s="73" t="s">
        <v>224</v>
      </c>
      <c r="B26" s="85"/>
      <c r="F26">
        <v>35000</v>
      </c>
      <c r="G26">
        <f t="shared" si="0"/>
        <v>30323</v>
      </c>
    </row>
    <row r="27" spans="1:7" ht="13.5" thickBot="1" x14ac:dyDescent="0.25">
      <c r="A27" s="73" t="s">
        <v>225</v>
      </c>
      <c r="B27" s="85">
        <v>129902</v>
      </c>
      <c r="D27" s="3">
        <v>121940</v>
      </c>
      <c r="F27">
        <v>1066000</v>
      </c>
      <c r="G27">
        <f t="shared" si="0"/>
        <v>923557</v>
      </c>
    </row>
    <row r="28" spans="1:7" ht="13.5" thickBot="1" x14ac:dyDescent="0.25">
      <c r="A28" s="73" t="s">
        <v>226</v>
      </c>
      <c r="B28" s="85">
        <v>278605</v>
      </c>
      <c r="D28" s="3">
        <v>261527</v>
      </c>
      <c r="F28">
        <v>296480</v>
      </c>
      <c r="G28">
        <f t="shared" si="0"/>
        <v>256863</v>
      </c>
    </row>
    <row r="29" spans="1:7" ht="13.5" thickBot="1" x14ac:dyDescent="0.25">
      <c r="A29" s="73" t="s">
        <v>227</v>
      </c>
      <c r="B29" s="85"/>
      <c r="F29">
        <v>1150</v>
      </c>
      <c r="G29">
        <f t="shared" si="0"/>
        <v>996</v>
      </c>
    </row>
    <row r="30" spans="1:7" ht="13.5" thickBot="1" x14ac:dyDescent="0.25">
      <c r="A30" s="73" t="s">
        <v>228</v>
      </c>
      <c r="B30" s="85">
        <v>99250</v>
      </c>
      <c r="D30" s="3">
        <v>62000</v>
      </c>
      <c r="F30">
        <v>82000</v>
      </c>
      <c r="G30">
        <f t="shared" si="0"/>
        <v>71043</v>
      </c>
    </row>
    <row r="31" spans="1:7" ht="13.5" thickBot="1" x14ac:dyDescent="0.25">
      <c r="A31" s="73" t="s">
        <v>229</v>
      </c>
      <c r="B31" s="85">
        <v>146950</v>
      </c>
      <c r="D31" s="3">
        <v>146950</v>
      </c>
      <c r="F31">
        <v>148625</v>
      </c>
      <c r="G31">
        <f t="shared" si="0"/>
        <v>128765</v>
      </c>
    </row>
    <row r="32" spans="1:7" ht="13.5" thickBot="1" x14ac:dyDescent="0.25">
      <c r="A32" s="73" t="s">
        <v>230</v>
      </c>
      <c r="B32" s="85">
        <v>117000</v>
      </c>
      <c r="D32" s="3">
        <v>117000</v>
      </c>
      <c r="F32">
        <v>333125</v>
      </c>
      <c r="G32">
        <f t="shared" si="0"/>
        <v>288612</v>
      </c>
    </row>
    <row r="33" spans="1:7" ht="13.5" thickBot="1" x14ac:dyDescent="0.25">
      <c r="A33" s="73" t="s">
        <v>231</v>
      </c>
      <c r="B33" s="85">
        <v>18500</v>
      </c>
      <c r="D33" s="3">
        <v>18500</v>
      </c>
      <c r="F33">
        <v>14500</v>
      </c>
      <c r="G33">
        <f t="shared" si="0"/>
        <v>12562</v>
      </c>
    </row>
    <row r="34" spans="1:7" ht="13.5" thickBot="1" x14ac:dyDescent="0.25">
      <c r="A34" s="73" t="s">
        <v>232</v>
      </c>
      <c r="B34" s="85">
        <v>49700</v>
      </c>
      <c r="D34" s="3">
        <v>49700</v>
      </c>
      <c r="F34">
        <v>95265</v>
      </c>
      <c r="G34">
        <f t="shared" si="0"/>
        <v>82535</v>
      </c>
    </row>
    <row r="35" spans="1:7" ht="13.5" thickBot="1" x14ac:dyDescent="0.25">
      <c r="A35" s="73" t="s">
        <v>233</v>
      </c>
      <c r="B35" s="85">
        <v>189000</v>
      </c>
      <c r="D35" s="3">
        <v>174560</v>
      </c>
      <c r="F35">
        <v>69760</v>
      </c>
      <c r="G35">
        <f t="shared" si="0"/>
        <v>60438</v>
      </c>
    </row>
    <row r="36" spans="1:7" ht="13.5" thickBot="1" x14ac:dyDescent="0.25">
      <c r="A36" s="73" t="s">
        <v>234</v>
      </c>
      <c r="B36" s="85"/>
      <c r="F36">
        <v>5000</v>
      </c>
      <c r="G36">
        <f t="shared" si="0"/>
        <v>4332</v>
      </c>
    </row>
    <row r="37" spans="1:7" ht="13.5" thickBot="1" x14ac:dyDescent="0.25">
      <c r="A37" s="73" t="s">
        <v>235</v>
      </c>
      <c r="B37" s="85">
        <v>71376</v>
      </c>
      <c r="D37" s="3">
        <v>79000</v>
      </c>
      <c r="F37">
        <v>488320</v>
      </c>
      <c r="G37">
        <f t="shared" si="0"/>
        <v>423069</v>
      </c>
    </row>
    <row r="38" spans="1:7" ht="13.5" thickBot="1" x14ac:dyDescent="0.25">
      <c r="A38" s="73" t="s">
        <v>236</v>
      </c>
      <c r="B38" s="85"/>
      <c r="F38">
        <v>85020</v>
      </c>
      <c r="G38">
        <f t="shared" si="0"/>
        <v>73659</v>
      </c>
    </row>
    <row r="39" spans="1:7" ht="13.5" thickBot="1" x14ac:dyDescent="0.25">
      <c r="A39" s="73" t="s">
        <v>237</v>
      </c>
      <c r="B39" s="85"/>
      <c r="F39">
        <v>35875</v>
      </c>
      <c r="G39">
        <f t="shared" si="0"/>
        <v>31081</v>
      </c>
    </row>
    <row r="40" spans="1:7" ht="13.5" thickBot="1" x14ac:dyDescent="0.25">
      <c r="A40" s="68" t="s">
        <v>238</v>
      </c>
      <c r="B40" s="81">
        <v>312782</v>
      </c>
      <c r="D40" s="3">
        <v>280640</v>
      </c>
      <c r="F40">
        <v>157941</v>
      </c>
      <c r="G40">
        <f t="shared" si="0"/>
        <v>136836</v>
      </c>
    </row>
    <row r="41" spans="1:7" ht="13.5" thickBot="1" x14ac:dyDescent="0.25">
      <c r="A41" s="68" t="s">
        <v>199</v>
      </c>
      <c r="B41" s="81">
        <v>198865</v>
      </c>
      <c r="D41" s="3">
        <v>173865</v>
      </c>
      <c r="F41">
        <v>343350</v>
      </c>
      <c r="G41">
        <f t="shared" si="0"/>
        <v>297470</v>
      </c>
    </row>
    <row r="42" spans="1:7" ht="13.5" thickBot="1" x14ac:dyDescent="0.25">
      <c r="A42" s="68" t="s">
        <v>239</v>
      </c>
      <c r="B42" s="81">
        <v>116086</v>
      </c>
      <c r="D42" s="3">
        <v>105686</v>
      </c>
      <c r="F42">
        <v>69760</v>
      </c>
      <c r="G42">
        <f t="shared" si="0"/>
        <v>60438</v>
      </c>
    </row>
    <row r="43" spans="1:7" ht="13.5" thickBot="1" x14ac:dyDescent="0.25">
      <c r="A43" s="68" t="s">
        <v>240</v>
      </c>
      <c r="B43" s="81"/>
      <c r="F43">
        <v>30000</v>
      </c>
      <c r="G43">
        <f t="shared" si="0"/>
        <v>25991</v>
      </c>
    </row>
    <row r="44" spans="1:7" ht="13.5" thickBot="1" x14ac:dyDescent="0.25">
      <c r="A44" s="68" t="s">
        <v>241</v>
      </c>
      <c r="B44" s="81"/>
      <c r="G44">
        <f t="shared" si="0"/>
        <v>0</v>
      </c>
    </row>
    <row r="45" spans="1:7" ht="13.5" thickBot="1" x14ac:dyDescent="0.25">
      <c r="A45" s="68" t="s">
        <v>242</v>
      </c>
      <c r="B45" s="81">
        <v>166873</v>
      </c>
      <c r="D45" s="3">
        <v>166873</v>
      </c>
      <c r="F45">
        <v>193000</v>
      </c>
      <c r="G45">
        <f t="shared" si="0"/>
        <v>167211</v>
      </c>
    </row>
    <row r="46" spans="1:7" ht="13.5" thickBot="1" x14ac:dyDescent="0.25">
      <c r="A46" s="68" t="s">
        <v>243</v>
      </c>
      <c r="B46" s="81"/>
      <c r="F46" s="3"/>
      <c r="G46">
        <f t="shared" si="0"/>
        <v>0</v>
      </c>
    </row>
    <row r="47" spans="1:7" ht="13.5" thickBot="1" x14ac:dyDescent="0.25">
      <c r="A47" s="68" t="s">
        <v>244</v>
      </c>
      <c r="B47" s="81"/>
      <c r="F47">
        <v>260000</v>
      </c>
      <c r="G47">
        <f t="shared" si="0"/>
        <v>225258</v>
      </c>
    </row>
    <row r="48" spans="1:7" ht="13.5" thickBot="1" x14ac:dyDescent="0.25">
      <c r="A48" s="68" t="s">
        <v>245</v>
      </c>
      <c r="B48" s="81">
        <v>239543</v>
      </c>
      <c r="D48" s="3">
        <v>316186</v>
      </c>
      <c r="F48">
        <v>801150</v>
      </c>
      <c r="G48">
        <f t="shared" si="0"/>
        <v>694097</v>
      </c>
    </row>
    <row r="49" spans="1:7" ht="13.5" thickBot="1" x14ac:dyDescent="0.25">
      <c r="A49" s="68" t="s">
        <v>246</v>
      </c>
      <c r="B49" s="81">
        <v>277276</v>
      </c>
      <c r="D49" s="3">
        <v>260280</v>
      </c>
      <c r="F49">
        <v>648550</v>
      </c>
      <c r="G49">
        <f t="shared" si="0"/>
        <v>561888</v>
      </c>
    </row>
    <row r="50" spans="1:7" ht="13.5" thickBot="1" x14ac:dyDescent="0.25">
      <c r="A50" s="76" t="s">
        <v>247</v>
      </c>
      <c r="B50" s="81"/>
      <c r="F50" s="3"/>
      <c r="G50">
        <f t="shared" si="0"/>
        <v>0</v>
      </c>
    </row>
    <row r="51" spans="1:7" ht="13.5" thickBot="1" x14ac:dyDescent="0.25">
      <c r="A51" s="68" t="s">
        <v>248</v>
      </c>
      <c r="B51" s="81"/>
      <c r="F51">
        <v>223450</v>
      </c>
      <c r="G51">
        <f t="shared" si="0"/>
        <v>193592</v>
      </c>
    </row>
    <row r="52" spans="1:7" ht="13.5" thickBot="1" x14ac:dyDescent="0.25">
      <c r="A52" s="68" t="s">
        <v>249</v>
      </c>
      <c r="B52" s="81">
        <v>418269</v>
      </c>
      <c r="D52" s="3">
        <v>398230</v>
      </c>
      <c r="F52">
        <v>790250</v>
      </c>
      <c r="G52">
        <f t="shared" si="0"/>
        <v>684654</v>
      </c>
    </row>
    <row r="53" spans="1:7" ht="13.5" thickBot="1" x14ac:dyDescent="0.25">
      <c r="A53" s="68" t="s">
        <v>250</v>
      </c>
      <c r="B53" s="81"/>
      <c r="F53" s="3"/>
      <c r="G53">
        <f t="shared" si="0"/>
        <v>0</v>
      </c>
    </row>
    <row r="54" spans="1:7" ht="13.5" thickBot="1" x14ac:dyDescent="0.25">
      <c r="A54" s="69" t="s">
        <v>251</v>
      </c>
      <c r="B54" s="81">
        <v>10750</v>
      </c>
      <c r="D54" s="62"/>
      <c r="F54" s="3"/>
      <c r="G54">
        <f t="shared" si="0"/>
        <v>0</v>
      </c>
    </row>
    <row r="55" spans="1:7" ht="13.5" thickBot="1" x14ac:dyDescent="0.25">
      <c r="A55" s="69"/>
      <c r="B55" s="81"/>
      <c r="F55" s="3"/>
      <c r="G55">
        <f t="shared" si="0"/>
        <v>0</v>
      </c>
    </row>
    <row r="56" spans="1:7" ht="13.5" thickBot="1" x14ac:dyDescent="0.25">
      <c r="A56" s="70"/>
      <c r="B56" s="82"/>
    </row>
    <row r="57" spans="1:7" ht="13.5" thickBot="1" x14ac:dyDescent="0.25">
      <c r="A57" s="71" t="s">
        <v>252</v>
      </c>
      <c r="B57" s="83">
        <f>SUM(B23:B56)</f>
        <v>2973915</v>
      </c>
      <c r="D57" s="3">
        <f>SUM(D23:D55)</f>
        <v>2829532</v>
      </c>
      <c r="F57" s="3">
        <f>SUM(F22:F55)</f>
        <v>7042321</v>
      </c>
      <c r="G57" s="3">
        <f>SUM(G22:G55)</f>
        <v>6101296</v>
      </c>
    </row>
    <row r="58" spans="1:7" x14ac:dyDescent="0.2">
      <c r="A58" s="70"/>
      <c r="B58" s="82"/>
      <c r="F58" s="132">
        <f>6243000-141700</f>
        <v>6101300</v>
      </c>
    </row>
    <row r="59" spans="1:7" ht="13.5" thickBot="1" x14ac:dyDescent="0.25">
      <c r="A59" s="72" t="s">
        <v>253</v>
      </c>
      <c r="B59" s="82"/>
    </row>
    <row r="60" spans="1:7" ht="13.5" thickBot="1" x14ac:dyDescent="0.25">
      <c r="A60" s="68" t="s">
        <v>254</v>
      </c>
      <c r="B60" s="81">
        <f>54036+15000</f>
        <v>69036</v>
      </c>
      <c r="D60" s="3">
        <v>54036</v>
      </c>
      <c r="F60">
        <v>174400</v>
      </c>
      <c r="G60">
        <f>ROUND(F60*52/70,0)</f>
        <v>129554</v>
      </c>
    </row>
    <row r="61" spans="1:7" ht="13.5" thickBot="1" x14ac:dyDescent="0.25">
      <c r="A61" s="68" t="s">
        <v>255</v>
      </c>
      <c r="B61" s="81">
        <v>23940</v>
      </c>
      <c r="D61" s="3">
        <v>23940</v>
      </c>
      <c r="F61">
        <v>16350</v>
      </c>
      <c r="G61">
        <f>ROUND(F61*52/70,0)</f>
        <v>12146</v>
      </c>
    </row>
    <row r="62" spans="1:7" ht="13.5" thickBot="1" x14ac:dyDescent="0.25">
      <c r="A62" s="68" t="s">
        <v>256</v>
      </c>
      <c r="B62" s="81"/>
    </row>
    <row r="63" spans="1:7" ht="13.5" thickBot="1" x14ac:dyDescent="0.25">
      <c r="A63" s="69" t="s">
        <v>257</v>
      </c>
      <c r="B63" s="81"/>
    </row>
    <row r="64" spans="1:7" ht="13.5" thickBot="1" x14ac:dyDescent="0.25">
      <c r="A64" s="69" t="s">
        <v>257</v>
      </c>
      <c r="B64" s="81"/>
    </row>
    <row r="65" spans="1:7" ht="13.5" thickBot="1" x14ac:dyDescent="0.25">
      <c r="A65" s="70"/>
      <c r="B65" s="82"/>
    </row>
    <row r="66" spans="1:7" ht="13.5" thickBot="1" x14ac:dyDescent="0.25">
      <c r="A66" s="71" t="s">
        <v>258</v>
      </c>
      <c r="B66" s="83">
        <f>SUM(B60:B64)</f>
        <v>92976</v>
      </c>
      <c r="D66" s="83">
        <f>SUM(D60:D64)</f>
        <v>77976</v>
      </c>
      <c r="F66" s="83">
        <f>SUM(F60:F65)</f>
        <v>190750</v>
      </c>
      <c r="G66" s="83">
        <f>SUM(G60:G65)</f>
        <v>141700</v>
      </c>
    </row>
    <row r="67" spans="1:7" x14ac:dyDescent="0.2">
      <c r="A67" s="70"/>
      <c r="B67" s="82"/>
      <c r="F67">
        <v>70</v>
      </c>
    </row>
    <row r="68" spans="1:7" x14ac:dyDescent="0.2">
      <c r="A68" s="70"/>
      <c r="B68" s="82"/>
    </row>
    <row r="69" spans="1:7" x14ac:dyDescent="0.2">
      <c r="A69" s="70"/>
      <c r="B69" s="82"/>
    </row>
    <row r="70" spans="1:7" x14ac:dyDescent="0.2">
      <c r="A70" s="72"/>
      <c r="B70" s="82"/>
    </row>
    <row r="71" spans="1:7" ht="13.5" thickBot="1" x14ac:dyDescent="0.25">
      <c r="A71" s="72"/>
      <c r="B71" s="82"/>
    </row>
    <row r="72" spans="1:7" ht="13.5" thickBot="1" x14ac:dyDescent="0.25">
      <c r="A72" s="76"/>
      <c r="B72" s="81"/>
    </row>
    <row r="73" spans="1:7" ht="13.5" thickBot="1" x14ac:dyDescent="0.25">
      <c r="A73" s="76"/>
      <c r="B73" s="81"/>
    </row>
    <row r="74" spans="1:7" ht="13.5" thickBot="1" x14ac:dyDescent="0.25">
      <c r="A74" s="76"/>
      <c r="B74" s="81"/>
    </row>
    <row r="75" spans="1:7" ht="13.5" thickBot="1" x14ac:dyDescent="0.25">
      <c r="A75" s="76"/>
      <c r="B75" s="81"/>
    </row>
    <row r="76" spans="1:7" ht="13.5" thickBot="1" x14ac:dyDescent="0.25">
      <c r="A76" s="76"/>
      <c r="B76" s="81"/>
    </row>
    <row r="77" spans="1:7" ht="13.5" thickBot="1" x14ac:dyDescent="0.25">
      <c r="A77" s="69"/>
      <c r="B77" s="81"/>
    </row>
    <row r="78" spans="1:7" ht="13.5" thickBot="1" x14ac:dyDescent="0.25">
      <c r="A78" s="69"/>
      <c r="B78" s="81"/>
    </row>
    <row r="79" spans="1:7" ht="13.5" thickBot="1" x14ac:dyDescent="0.25">
      <c r="A79" s="70"/>
      <c r="B79" s="82"/>
    </row>
    <row r="80" spans="1:7" ht="13.5" thickBot="1" x14ac:dyDescent="0.25">
      <c r="A80" s="77"/>
      <c r="B80" s="83"/>
      <c r="D80" s="83"/>
    </row>
    <row r="81" spans="1:7" x14ac:dyDescent="0.2">
      <c r="A81" s="70"/>
      <c r="B81" s="82"/>
    </row>
    <row r="82" spans="1:7" ht="13.5" thickBot="1" x14ac:dyDescent="0.25">
      <c r="A82" s="72"/>
      <c r="B82" s="82"/>
    </row>
    <row r="83" spans="1:7" ht="13.5" thickBot="1" x14ac:dyDescent="0.25">
      <c r="A83" s="76"/>
      <c r="B83" s="81"/>
      <c r="F83" s="3"/>
    </row>
    <row r="84" spans="1:7" ht="13.5" thickBot="1" x14ac:dyDescent="0.25">
      <c r="A84" s="76"/>
      <c r="B84" s="81"/>
      <c r="F84" s="3"/>
    </row>
    <row r="85" spans="1:7" ht="13.5" thickBot="1" x14ac:dyDescent="0.25">
      <c r="A85" s="76"/>
      <c r="B85" s="81"/>
      <c r="F85" s="3"/>
    </row>
    <row r="86" spans="1:7" ht="13.5" thickBot="1" x14ac:dyDescent="0.25">
      <c r="A86" s="70"/>
      <c r="B86" s="82"/>
    </row>
    <row r="87" spans="1:7" ht="13.5" thickBot="1" x14ac:dyDescent="0.25">
      <c r="A87" s="71"/>
      <c r="B87" s="83"/>
      <c r="D87" s="83"/>
      <c r="F87" s="83"/>
    </row>
    <row r="88" spans="1:7" ht="13.5" thickBot="1" x14ac:dyDescent="0.25">
      <c r="A88" s="70"/>
      <c r="B88" s="86"/>
      <c r="F88" s="3"/>
    </row>
    <row r="89" spans="1:7" ht="13.5" thickBot="1" x14ac:dyDescent="0.25">
      <c r="A89" s="78"/>
      <c r="B89" s="83"/>
      <c r="D89" s="83"/>
      <c r="F89" s="83"/>
      <c r="G89" s="8"/>
    </row>
    <row r="91" spans="1:7" x14ac:dyDescent="0.2">
      <c r="D91" s="3">
        <v>3921628</v>
      </c>
      <c r="F91" s="8"/>
    </row>
    <row r="92" spans="1:7" x14ac:dyDescent="0.2">
      <c r="D92" s="3">
        <f>+D91-D89</f>
        <v>3921628</v>
      </c>
    </row>
  </sheetData>
  <dataValidations count="1">
    <dataValidation type="whole" allowBlank="1" showErrorMessage="1" error="A whole number must be entered." prompt="Enter whole numbers only." sqref="F58" xr:uid="{00000000-0002-0000-0400-000000000000}">
      <formula1>0</formula1>
      <formula2>9.99999999999999E+44</formula2>
    </dataValidation>
  </dataValidations>
  <pageMargins left="0.7" right="0.7" top="0.75" bottom="0.75" header="0.3" footer="0.3"/>
  <pageSetup orientation="portrait" r:id="rId1"/>
  <headerFooter>
    <oddHeader>&amp;CEXHIBIT 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55"/>
  <sheetViews>
    <sheetView topLeftCell="A44" workbookViewId="0">
      <selection activeCell="K12" sqref="K12"/>
    </sheetView>
  </sheetViews>
  <sheetFormatPr defaultRowHeight="12.75" outlineLevelRow="1" x14ac:dyDescent="0.2"/>
  <cols>
    <col min="1" max="1" width="53.5703125" customWidth="1"/>
    <col min="2" max="2" width="14.28515625" customWidth="1"/>
    <col min="3" max="3" width="12.85546875" customWidth="1"/>
    <col min="4" max="4" width="14.7109375" customWidth="1"/>
    <col min="5" max="6" width="13.42578125" customWidth="1"/>
    <col min="7" max="7" width="11.28515625" bestFit="1" customWidth="1"/>
    <col min="8" max="8" width="14.85546875" customWidth="1"/>
    <col min="9" max="9" width="12.28515625" customWidth="1"/>
    <col min="10" max="10" width="14.140625" customWidth="1"/>
    <col min="11" max="11" width="11.5703125" customWidth="1"/>
    <col min="12" max="12" width="13.7109375" customWidth="1"/>
    <col min="13" max="15" width="9.28515625" customWidth="1"/>
    <col min="16" max="18" width="11.28515625" bestFit="1" customWidth="1"/>
  </cols>
  <sheetData>
    <row r="1" spans="1:12" x14ac:dyDescent="0.2">
      <c r="A1" s="1" t="str">
        <f>+SUMMARY!B1</f>
        <v>MVHO - TINY HOME COMMUNITY</v>
      </c>
    </row>
    <row r="2" spans="1:12" x14ac:dyDescent="0.2">
      <c r="A2" s="1" t="s">
        <v>116</v>
      </c>
    </row>
    <row r="3" spans="1:12" x14ac:dyDescent="0.2">
      <c r="A3" s="33" t="str">
        <f>+SUMMARY!B3</f>
        <v>SEPTEMBER 12, 2023</v>
      </c>
    </row>
    <row r="5" spans="1:12" x14ac:dyDescent="0.2">
      <c r="A5" s="2"/>
      <c r="B5" s="2"/>
      <c r="C5" s="2"/>
      <c r="D5" s="2"/>
    </row>
    <row r="6" spans="1:12" x14ac:dyDescent="0.2">
      <c r="A6" s="2"/>
      <c r="B6" s="2"/>
      <c r="C6" s="2"/>
      <c r="D6" s="2"/>
    </row>
    <row r="7" spans="1:12" x14ac:dyDescent="0.2">
      <c r="A7" s="2"/>
      <c r="B7" s="2"/>
      <c r="C7" s="2"/>
      <c r="D7" s="56"/>
      <c r="E7" s="6"/>
      <c r="F7" s="6"/>
      <c r="G7" s="6"/>
      <c r="H7" s="6"/>
      <c r="I7" s="6"/>
      <c r="J7" s="6"/>
      <c r="K7" s="6"/>
      <c r="L7" s="6"/>
    </row>
    <row r="8" spans="1:12" x14ac:dyDescent="0.2">
      <c r="D8" s="6"/>
      <c r="E8" s="65" t="s">
        <v>491</v>
      </c>
      <c r="F8" s="65" t="s">
        <v>492</v>
      </c>
      <c r="G8" s="17" t="s">
        <v>184</v>
      </c>
      <c r="H8" s="6"/>
      <c r="I8" s="17" t="s">
        <v>185</v>
      </c>
      <c r="J8" s="6" t="s">
        <v>617</v>
      </c>
      <c r="K8" s="6" t="s">
        <v>186</v>
      </c>
      <c r="L8" s="6"/>
    </row>
    <row r="9" spans="1:12" x14ac:dyDescent="0.2">
      <c r="B9" s="17"/>
      <c r="C9" s="65" t="s">
        <v>283</v>
      </c>
      <c r="D9" s="6" t="s">
        <v>187</v>
      </c>
      <c r="E9" s="6" t="s">
        <v>188</v>
      </c>
      <c r="F9" s="6" t="str">
        <f>+E9</f>
        <v>MEDIAN</v>
      </c>
      <c r="G9" s="17" t="s">
        <v>139</v>
      </c>
      <c r="H9" s="6" t="s">
        <v>189</v>
      </c>
      <c r="I9" s="6" t="s">
        <v>190</v>
      </c>
      <c r="J9" s="6" t="s">
        <v>618</v>
      </c>
      <c r="K9" s="6" t="s">
        <v>191</v>
      </c>
      <c r="L9" s="6" t="s">
        <v>138</v>
      </c>
    </row>
    <row r="10" spans="1:12" x14ac:dyDescent="0.2">
      <c r="B10" s="65" t="s">
        <v>608</v>
      </c>
      <c r="C10" s="65" t="s">
        <v>139</v>
      </c>
      <c r="D10" s="6" t="s">
        <v>192</v>
      </c>
      <c r="E10" s="6" t="s">
        <v>193</v>
      </c>
      <c r="F10" s="6" t="str">
        <f>+E10</f>
        <v>INCOME</v>
      </c>
      <c r="G10" s="6" t="s">
        <v>138</v>
      </c>
      <c r="H10" s="6" t="s">
        <v>194</v>
      </c>
      <c r="I10" s="6" t="s">
        <v>138</v>
      </c>
      <c r="J10" s="6" t="s">
        <v>138</v>
      </c>
      <c r="K10" s="6" t="s">
        <v>195</v>
      </c>
      <c r="L10" s="6" t="s">
        <v>196</v>
      </c>
    </row>
    <row r="11" spans="1:12" x14ac:dyDescent="0.2">
      <c r="C11" s="6"/>
      <c r="D11" s="6"/>
      <c r="E11" s="6"/>
      <c r="F11" s="6"/>
      <c r="G11" s="6"/>
      <c r="H11" s="6"/>
      <c r="I11" s="6"/>
      <c r="K11" s="6"/>
      <c r="L11" s="6"/>
    </row>
    <row r="12" spans="1:12" x14ac:dyDescent="0.2">
      <c r="A12" s="63" t="s">
        <v>284</v>
      </c>
      <c r="B12">
        <f>29.5*24</f>
        <v>708</v>
      </c>
      <c r="C12" s="16">
        <v>40</v>
      </c>
      <c r="D12">
        <f>+C12</f>
        <v>40</v>
      </c>
      <c r="E12" s="9">
        <v>0.3</v>
      </c>
      <c r="F12" s="9">
        <v>0.3</v>
      </c>
      <c r="G12">
        <v>409</v>
      </c>
      <c r="H12">
        <f>+B113</f>
        <v>0</v>
      </c>
      <c r="I12">
        <f t="shared" ref="I12" si="0">+G12-H12</f>
        <v>409</v>
      </c>
      <c r="J12" s="57">
        <f>817-I12</f>
        <v>408</v>
      </c>
      <c r="K12" s="8">
        <f>+I12+J12</f>
        <v>817</v>
      </c>
      <c r="L12" s="3">
        <f t="shared" ref="L12:L14" si="1">+K12*D12</f>
        <v>32680</v>
      </c>
    </row>
    <row r="13" spans="1:12" x14ac:dyDescent="0.2">
      <c r="A13" s="63" t="s">
        <v>284</v>
      </c>
      <c r="B13">
        <f>+B12</f>
        <v>708</v>
      </c>
      <c r="C13">
        <v>0</v>
      </c>
      <c r="D13">
        <f>+C13</f>
        <v>0</v>
      </c>
      <c r="E13" s="9">
        <v>0.5</v>
      </c>
      <c r="F13" s="9">
        <v>0.5</v>
      </c>
      <c r="G13">
        <v>683</v>
      </c>
      <c r="H13">
        <f>+H12</f>
        <v>0</v>
      </c>
      <c r="I13">
        <f>+G13-H13</f>
        <v>683</v>
      </c>
      <c r="J13" s="57">
        <f t="shared" ref="J13:J14" si="2">748-I13</f>
        <v>65</v>
      </c>
      <c r="K13" s="8">
        <f t="shared" ref="K13:K14" si="3">+I13+J13</f>
        <v>748</v>
      </c>
      <c r="L13" s="3">
        <f t="shared" si="1"/>
        <v>0</v>
      </c>
    </row>
    <row r="14" spans="1:12" x14ac:dyDescent="0.2">
      <c r="A14" s="63" t="s">
        <v>284</v>
      </c>
      <c r="B14">
        <f>+B13</f>
        <v>708</v>
      </c>
      <c r="C14">
        <v>0</v>
      </c>
      <c r="D14">
        <f t="shared" ref="D14" si="4">+C14</f>
        <v>0</v>
      </c>
      <c r="E14" s="9">
        <v>0.6</v>
      </c>
      <c r="F14" s="9">
        <v>0.6</v>
      </c>
      <c r="G14">
        <v>819</v>
      </c>
      <c r="H14">
        <f>+H13</f>
        <v>0</v>
      </c>
      <c r="I14">
        <f>+G14-H14</f>
        <v>819</v>
      </c>
      <c r="J14" s="57">
        <f t="shared" si="2"/>
        <v>-71</v>
      </c>
      <c r="K14" s="8">
        <f t="shared" si="3"/>
        <v>748</v>
      </c>
      <c r="L14" s="3">
        <f t="shared" si="1"/>
        <v>0</v>
      </c>
    </row>
    <row r="15" spans="1:12" x14ac:dyDescent="0.2">
      <c r="A15" s="63"/>
      <c r="E15" s="9"/>
      <c r="F15" s="9"/>
      <c r="J15" s="57"/>
      <c r="L15" s="3"/>
    </row>
    <row r="16" spans="1:12" x14ac:dyDescent="0.2">
      <c r="A16" s="63"/>
      <c r="B16" s="16"/>
      <c r="C16" s="16"/>
      <c r="E16" s="9"/>
      <c r="F16" s="9"/>
      <c r="J16" s="57"/>
      <c r="L16" s="3"/>
    </row>
    <row r="17" spans="1:12" x14ac:dyDescent="0.2">
      <c r="A17" s="63"/>
      <c r="B17" s="63"/>
      <c r="C17" s="63"/>
      <c r="E17" s="9"/>
      <c r="F17" s="9"/>
      <c r="J17" s="57"/>
      <c r="L17" s="3"/>
    </row>
    <row r="18" spans="1:12" x14ac:dyDescent="0.2">
      <c r="A18" s="63"/>
      <c r="B18" s="63"/>
      <c r="C18" s="63"/>
      <c r="E18" s="9"/>
      <c r="F18" s="9"/>
      <c r="J18" s="57"/>
      <c r="L18" s="3"/>
    </row>
    <row r="19" spans="1:12" x14ac:dyDescent="0.2">
      <c r="A19" s="63"/>
      <c r="B19" s="63"/>
      <c r="C19" s="63"/>
      <c r="E19" s="9"/>
      <c r="F19" s="9"/>
      <c r="J19" s="57"/>
      <c r="L19" s="3"/>
    </row>
    <row r="20" spans="1:12" x14ac:dyDescent="0.2">
      <c r="A20" s="63"/>
      <c r="B20" s="11"/>
      <c r="C20" s="11"/>
      <c r="D20" s="11"/>
      <c r="E20" s="9"/>
      <c r="F20" s="9"/>
      <c r="J20" s="57"/>
      <c r="L20" s="3"/>
    </row>
    <row r="21" spans="1:12" x14ac:dyDescent="0.2">
      <c r="E21" s="9"/>
      <c r="F21" s="9"/>
      <c r="L21" s="3"/>
    </row>
    <row r="22" spans="1:12" x14ac:dyDescent="0.2">
      <c r="A22" t="s">
        <v>197</v>
      </c>
      <c r="B22" s="120">
        <f>+B12*C12+B13*C13+B14*C14+B15*C15+B16*C16+B17*C17+B18*C18</f>
        <v>28320</v>
      </c>
      <c r="C22" s="105">
        <f>SUM(C12:C20)</f>
        <v>40</v>
      </c>
      <c r="D22" s="105">
        <f>SUM(D12:D21)</f>
        <v>40</v>
      </c>
      <c r="L22" s="3">
        <f>SUM(L12:L21)</f>
        <v>32680</v>
      </c>
    </row>
    <row r="23" spans="1:12" x14ac:dyDescent="0.2">
      <c r="E23" s="58"/>
      <c r="F23" s="58"/>
      <c r="L23" s="3"/>
    </row>
    <row r="24" spans="1:12" x14ac:dyDescent="0.2">
      <c r="A24" t="s">
        <v>198</v>
      </c>
      <c r="E24" s="58"/>
      <c r="F24" s="58"/>
      <c r="L24" s="3">
        <f>+L22*12</f>
        <v>392160</v>
      </c>
    </row>
    <row r="25" spans="1:12" ht="15" x14ac:dyDescent="0.35">
      <c r="A25" s="63" t="s">
        <v>277</v>
      </c>
      <c r="E25" s="58"/>
      <c r="F25" s="58"/>
      <c r="K25" s="14">
        <v>7.0000000000000007E-2</v>
      </c>
      <c r="L25" s="4">
        <f>ROUND(-L24*K25,0)</f>
        <v>-27451</v>
      </c>
    </row>
    <row r="26" spans="1:12" x14ac:dyDescent="0.2">
      <c r="A26" s="63" t="s">
        <v>278</v>
      </c>
      <c r="L26" s="3">
        <f>+L25+L24</f>
        <v>364709</v>
      </c>
    </row>
    <row r="27" spans="1:12" x14ac:dyDescent="0.2">
      <c r="A27" s="63" t="s">
        <v>287</v>
      </c>
      <c r="D27" s="3"/>
      <c r="K27">
        <v>0</v>
      </c>
      <c r="L27" s="7">
        <f>+K27*D22*12</f>
        <v>0</v>
      </c>
    </row>
    <row r="28" spans="1:12" ht="15" x14ac:dyDescent="0.35">
      <c r="A28" s="63" t="s">
        <v>288</v>
      </c>
      <c r="D28" s="3"/>
      <c r="L28" s="12">
        <f>+L26+L27</f>
        <v>364709</v>
      </c>
    </row>
    <row r="29" spans="1:12" x14ac:dyDescent="0.2">
      <c r="D29" s="3"/>
    </row>
    <row r="30" spans="1:12" x14ac:dyDescent="0.2">
      <c r="B30" s="6"/>
      <c r="C30" s="65" t="s">
        <v>187</v>
      </c>
      <c r="D30" s="3"/>
    </row>
    <row r="31" spans="1:12" hidden="1" x14ac:dyDescent="0.2">
      <c r="B31" s="65" t="s">
        <v>308</v>
      </c>
      <c r="C31" s="65" t="s">
        <v>192</v>
      </c>
      <c r="D31" s="3"/>
    </row>
    <row r="32" spans="1:12" hidden="1" x14ac:dyDescent="0.2">
      <c r="A32" s="63" t="s">
        <v>301</v>
      </c>
      <c r="B32" s="14">
        <f>+C32/D22</f>
        <v>708</v>
      </c>
      <c r="C32" s="3">
        <f>+B22</f>
        <v>28320</v>
      </c>
      <c r="D32" s="3"/>
    </row>
    <row r="33" spans="1:11" hidden="1" x14ac:dyDescent="0.2">
      <c r="A33" s="63" t="s">
        <v>300</v>
      </c>
      <c r="B33" s="14">
        <f>(D12+D15+D18)/D22</f>
        <v>1</v>
      </c>
      <c r="C33">
        <f>+D12</f>
        <v>40</v>
      </c>
      <c r="D33" s="3"/>
    </row>
    <row r="34" spans="1:11" hidden="1" x14ac:dyDescent="0.2">
      <c r="A34" s="63" t="s">
        <v>309</v>
      </c>
      <c r="B34" s="14">
        <f>+C34/D22</f>
        <v>1</v>
      </c>
      <c r="C34">
        <f>+D12+D13</f>
        <v>40</v>
      </c>
      <c r="D34" s="3"/>
      <c r="H34" s="114"/>
    </row>
    <row r="35" spans="1:11" hidden="1" x14ac:dyDescent="0.2">
      <c r="A35" s="63" t="s">
        <v>284</v>
      </c>
      <c r="B35" s="14">
        <f>SUM(D12:D14)/D22</f>
        <v>1</v>
      </c>
      <c r="C35">
        <f>+D12+D13+D14</f>
        <v>40</v>
      </c>
      <c r="D35" s="3"/>
    </row>
    <row r="36" spans="1:11" hidden="1" x14ac:dyDescent="0.2">
      <c r="A36" s="63"/>
      <c r="B36" s="14"/>
      <c r="D36" s="3"/>
    </row>
    <row r="37" spans="1:11" hidden="1" x14ac:dyDescent="0.2">
      <c r="A37" s="63" t="s">
        <v>493</v>
      </c>
      <c r="B37" s="14">
        <f>(+D12*F12+D13*F13+D14*F14+D15*F15)/D22</f>
        <v>0.3</v>
      </c>
      <c r="C37">
        <f>+D18+D19+D20</f>
        <v>0</v>
      </c>
      <c r="D37" s="3"/>
    </row>
    <row r="38" spans="1:11" hidden="1" x14ac:dyDescent="0.2">
      <c r="A38" s="63" t="s">
        <v>489</v>
      </c>
      <c r="B38" s="10">
        <f>+(D12*E12+D13*E13+D14*E14+C15*E15)/D22</f>
        <v>0.3</v>
      </c>
      <c r="D38" s="3"/>
      <c r="I38" s="114"/>
    </row>
    <row r="39" spans="1:11" hidden="1" x14ac:dyDescent="0.2">
      <c r="D39" s="3"/>
      <c r="I39" s="114"/>
    </row>
    <row r="40" spans="1:11" hidden="1" x14ac:dyDescent="0.2">
      <c r="A40" s="63" t="s">
        <v>288</v>
      </c>
      <c r="C40" s="13">
        <f>+D40/D22</f>
        <v>9117.7250000000004</v>
      </c>
      <c r="D40" s="3">
        <f>+L28</f>
        <v>364709</v>
      </c>
      <c r="E40">
        <f>+C40/12</f>
        <v>759.8104166666667</v>
      </c>
    </row>
    <row r="41" spans="1:11" x14ac:dyDescent="0.2">
      <c r="D41" s="3"/>
    </row>
    <row r="42" spans="1:11" x14ac:dyDescent="0.2">
      <c r="A42" s="64" t="s">
        <v>263</v>
      </c>
      <c r="D42" s="3"/>
    </row>
    <row r="43" spans="1:11" x14ac:dyDescent="0.2">
      <c r="A43" t="s">
        <v>103</v>
      </c>
      <c r="C43" s="3">
        <v>400</v>
      </c>
      <c r="D43" s="3">
        <f>+C43*D22</f>
        <v>16000</v>
      </c>
    </row>
    <row r="44" spans="1:11" x14ac:dyDescent="0.2">
      <c r="A44" s="63" t="s">
        <v>576</v>
      </c>
      <c r="C44" s="3"/>
      <c r="D44" s="3">
        <v>0</v>
      </c>
    </row>
    <row r="45" spans="1:11" x14ac:dyDescent="0.2">
      <c r="A45" s="63" t="s">
        <v>577</v>
      </c>
      <c r="C45" s="3"/>
      <c r="D45" s="3"/>
      <c r="I45" s="125"/>
      <c r="J45" s="125"/>
      <c r="K45" s="125"/>
    </row>
    <row r="46" spans="1:11" x14ac:dyDescent="0.2">
      <c r="A46" s="63" t="s">
        <v>578</v>
      </c>
      <c r="C46" s="3"/>
      <c r="D46" s="3"/>
    </row>
    <row r="47" spans="1:11" x14ac:dyDescent="0.2">
      <c r="A47" s="63" t="s">
        <v>579</v>
      </c>
      <c r="C47" s="3"/>
      <c r="D47" s="3">
        <v>0</v>
      </c>
    </row>
    <row r="48" spans="1:11" x14ac:dyDescent="0.2">
      <c r="A48" s="63" t="s">
        <v>580</v>
      </c>
      <c r="C48" s="3"/>
      <c r="D48" s="3">
        <v>34000</v>
      </c>
    </row>
    <row r="49" spans="1:11" x14ac:dyDescent="0.2">
      <c r="A49" s="63" t="s">
        <v>582</v>
      </c>
      <c r="C49" s="3"/>
      <c r="D49" s="3">
        <v>1500</v>
      </c>
      <c r="I49" s="6"/>
      <c r="J49" s="6"/>
      <c r="K49" s="63"/>
    </row>
    <row r="50" spans="1:11" x14ac:dyDescent="0.2">
      <c r="A50" s="63" t="s">
        <v>581</v>
      </c>
      <c r="C50" s="3"/>
      <c r="D50" s="3">
        <v>7500</v>
      </c>
      <c r="I50" s="6"/>
      <c r="K50" s="63"/>
    </row>
    <row r="51" spans="1:11" x14ac:dyDescent="0.2">
      <c r="A51" s="63" t="s">
        <v>583</v>
      </c>
      <c r="C51" s="3"/>
      <c r="D51" s="3"/>
      <c r="I51" s="6"/>
    </row>
    <row r="52" spans="1:11" x14ac:dyDescent="0.2">
      <c r="A52" s="63" t="s">
        <v>584</v>
      </c>
      <c r="C52" s="3"/>
      <c r="D52" s="3"/>
      <c r="E52" s="8"/>
      <c r="J52" s="114"/>
    </row>
    <row r="53" spans="1:11" x14ac:dyDescent="0.2">
      <c r="A53" s="63" t="s">
        <v>585</v>
      </c>
      <c r="C53" s="3"/>
      <c r="D53" s="3">
        <v>750</v>
      </c>
      <c r="J53" s="114"/>
    </row>
    <row r="54" spans="1:11" x14ac:dyDescent="0.2">
      <c r="A54" s="63"/>
      <c r="C54" s="3"/>
      <c r="D54" s="3"/>
      <c r="E54" s="8">
        <f>SUM(D43:D53)</f>
        <v>59750</v>
      </c>
      <c r="J54" s="114"/>
    </row>
    <row r="55" spans="1:11" x14ac:dyDescent="0.2">
      <c r="A55" t="s">
        <v>105</v>
      </c>
      <c r="C55" s="14">
        <v>7.0000000000000007E-2</v>
      </c>
      <c r="D55" s="3">
        <f>+L26*C55</f>
        <v>25529.63</v>
      </c>
    </row>
    <row r="56" spans="1:11" x14ac:dyDescent="0.2">
      <c r="C56" s="14"/>
      <c r="D56" s="3"/>
    </row>
    <row r="57" spans="1:11" x14ac:dyDescent="0.2">
      <c r="A57" s="63" t="s">
        <v>303</v>
      </c>
      <c r="C57" s="3">
        <v>0</v>
      </c>
      <c r="D57" s="3">
        <v>31600</v>
      </c>
    </row>
    <row r="58" spans="1:11" x14ac:dyDescent="0.2">
      <c r="A58" s="16" t="s">
        <v>140</v>
      </c>
      <c r="C58" s="3">
        <v>0</v>
      </c>
      <c r="D58" s="3">
        <f>+D22*C58</f>
        <v>0</v>
      </c>
      <c r="I58" s="59"/>
    </row>
    <row r="59" spans="1:11" x14ac:dyDescent="0.2">
      <c r="A59" s="63" t="s">
        <v>603</v>
      </c>
      <c r="C59" s="3"/>
      <c r="D59" s="3">
        <v>0</v>
      </c>
      <c r="I59" s="59"/>
    </row>
    <row r="60" spans="1:11" x14ac:dyDescent="0.2">
      <c r="A60" s="63" t="s">
        <v>586</v>
      </c>
      <c r="C60" s="3">
        <v>360</v>
      </c>
      <c r="D60" s="3">
        <f>+C60*D22</f>
        <v>14400</v>
      </c>
      <c r="E60" s="63" t="s">
        <v>127</v>
      </c>
      <c r="I60" s="59"/>
    </row>
    <row r="61" spans="1:11" x14ac:dyDescent="0.2">
      <c r="A61" s="63" t="s">
        <v>587</v>
      </c>
      <c r="C61" s="3">
        <v>360</v>
      </c>
      <c r="D61" s="3">
        <f>+C61*D22</f>
        <v>14400</v>
      </c>
      <c r="I61" s="59"/>
    </row>
    <row r="62" spans="1:11" x14ac:dyDescent="0.2">
      <c r="A62" s="63" t="s">
        <v>588</v>
      </c>
      <c r="C62" s="3"/>
      <c r="D62" s="3"/>
      <c r="E62" s="8">
        <f>SUM(D59:D61)</f>
        <v>28800</v>
      </c>
      <c r="I62" s="59"/>
    </row>
    <row r="63" spans="1:11" x14ac:dyDescent="0.2">
      <c r="A63" s="63"/>
      <c r="C63" s="3"/>
      <c r="D63" s="3"/>
      <c r="I63" s="59"/>
    </row>
    <row r="64" spans="1:11" x14ac:dyDescent="0.2">
      <c r="A64" t="s">
        <v>104</v>
      </c>
      <c r="C64" s="3">
        <v>1250</v>
      </c>
      <c r="D64" s="3">
        <f>+C64*D22</f>
        <v>50000</v>
      </c>
    </row>
    <row r="65" spans="1:6" x14ac:dyDescent="0.2">
      <c r="A65" s="63" t="s">
        <v>589</v>
      </c>
      <c r="C65" s="3"/>
      <c r="D65" s="3"/>
    </row>
    <row r="66" spans="1:6" x14ac:dyDescent="0.2">
      <c r="A66" s="63" t="s">
        <v>590</v>
      </c>
      <c r="C66" s="3"/>
      <c r="D66" s="3"/>
    </row>
    <row r="67" spans="1:6" x14ac:dyDescent="0.2">
      <c r="A67" s="63" t="s">
        <v>591</v>
      </c>
      <c r="C67" s="3"/>
      <c r="D67" s="3">
        <v>3384</v>
      </c>
    </row>
    <row r="68" spans="1:6" x14ac:dyDescent="0.2">
      <c r="A68" s="63" t="s">
        <v>592</v>
      </c>
      <c r="C68" s="3"/>
      <c r="D68" s="3"/>
    </row>
    <row r="69" spans="1:6" x14ac:dyDescent="0.2">
      <c r="A69" s="63" t="s">
        <v>593</v>
      </c>
      <c r="C69" s="3"/>
      <c r="D69" s="3">
        <v>21000</v>
      </c>
    </row>
    <row r="70" spans="1:6" x14ac:dyDescent="0.2">
      <c r="A70" s="63" t="s">
        <v>594</v>
      </c>
      <c r="C70" s="3">
        <v>0</v>
      </c>
      <c r="D70" s="3">
        <f>+C70*D22</f>
        <v>0</v>
      </c>
    </row>
    <row r="71" spans="1:6" x14ac:dyDescent="0.2">
      <c r="A71" s="63" t="s">
        <v>619</v>
      </c>
      <c r="C71" s="57"/>
      <c r="D71" s="57">
        <v>5400</v>
      </c>
    </row>
    <row r="72" spans="1:6" x14ac:dyDescent="0.2">
      <c r="A72" s="129" t="s">
        <v>633</v>
      </c>
      <c r="B72" s="127"/>
      <c r="C72" s="62"/>
      <c r="D72" s="62">
        <v>34000</v>
      </c>
      <c r="F72" s="8">
        <f>SUM(D64:D72)</f>
        <v>113784</v>
      </c>
    </row>
    <row r="73" spans="1:6" x14ac:dyDescent="0.2">
      <c r="A73" s="63" t="s">
        <v>634</v>
      </c>
      <c r="C73" s="57"/>
      <c r="D73" s="57"/>
    </row>
    <row r="74" spans="1:6" x14ac:dyDescent="0.2">
      <c r="A74" s="63"/>
      <c r="C74" s="57"/>
      <c r="D74" s="57"/>
    </row>
    <row r="75" spans="1:6" x14ac:dyDescent="0.2">
      <c r="A75" s="63"/>
      <c r="C75" s="57"/>
      <c r="D75" s="57"/>
    </row>
    <row r="76" spans="1:6" x14ac:dyDescent="0.2">
      <c r="A76" s="63" t="s">
        <v>490</v>
      </c>
      <c r="C76" s="57"/>
      <c r="D76" s="57">
        <v>12900</v>
      </c>
    </row>
    <row r="77" spans="1:6" x14ac:dyDescent="0.2">
      <c r="A77" s="16" t="s">
        <v>67</v>
      </c>
      <c r="C77" s="3">
        <v>687.5</v>
      </c>
      <c r="D77" s="3">
        <f>+C77*D22</f>
        <v>27500</v>
      </c>
    </row>
    <row r="78" spans="1:6" ht="15" x14ac:dyDescent="0.35">
      <c r="A78" t="s">
        <v>44</v>
      </c>
      <c r="C78" s="4">
        <v>0</v>
      </c>
      <c r="D78" s="4">
        <f>+C78*D22</f>
        <v>0</v>
      </c>
      <c r="E78" s="63" t="s">
        <v>127</v>
      </c>
      <c r="F78" s="63"/>
    </row>
    <row r="79" spans="1:6" x14ac:dyDescent="0.2">
      <c r="A79" s="63" t="s">
        <v>281</v>
      </c>
      <c r="C79" s="3">
        <f>+D79/D22</f>
        <v>7496.5907500000003</v>
      </c>
      <c r="D79" s="13">
        <f>SUM(D43:D78)</f>
        <v>299863.63</v>
      </c>
    </row>
    <row r="80" spans="1:6" ht="15" x14ac:dyDescent="0.35">
      <c r="A80" s="63" t="s">
        <v>279</v>
      </c>
      <c r="C80" s="4">
        <v>375</v>
      </c>
      <c r="D80" s="3">
        <f>+C80*D22</f>
        <v>15000</v>
      </c>
      <c r="E80" s="63"/>
      <c r="F80" s="63"/>
    </row>
    <row r="81" spans="1:18" ht="15" x14ac:dyDescent="0.35">
      <c r="A81" s="63" t="s">
        <v>282</v>
      </c>
      <c r="C81" s="3">
        <f>+D81/D22</f>
        <v>7871.5907500000003</v>
      </c>
      <c r="D81" s="52">
        <f>+D79+D80</f>
        <v>314863.63</v>
      </c>
    </row>
    <row r="82" spans="1:18" x14ac:dyDescent="0.2">
      <c r="A82" s="63" t="s">
        <v>597</v>
      </c>
      <c r="C82" s="3"/>
      <c r="D82" s="119">
        <f>+L28-D81</f>
        <v>49845.369999999995</v>
      </c>
    </row>
    <row r="83" spans="1:18" ht="15" x14ac:dyDescent="0.35">
      <c r="A83" s="63" t="s">
        <v>598</v>
      </c>
      <c r="C83" s="3"/>
      <c r="D83" s="52"/>
    </row>
    <row r="84" spans="1:18" ht="15" x14ac:dyDescent="0.35">
      <c r="A84" s="63" t="s">
        <v>280</v>
      </c>
      <c r="C84" s="8">
        <f>+C40-C81</f>
        <v>1246.1342500000001</v>
      </c>
      <c r="D84" s="12">
        <f>+D83+D82</f>
        <v>49845.369999999995</v>
      </c>
    </row>
    <row r="85" spans="1:18" x14ac:dyDescent="0.2">
      <c r="A85" s="63" t="s">
        <v>620</v>
      </c>
      <c r="D85" s="9">
        <f>+D81/L28</f>
        <v>0.86332837961223885</v>
      </c>
    </row>
    <row r="86" spans="1:18" x14ac:dyDescent="0.2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2">
      <c r="E87" s="122"/>
      <c r="F87" s="12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2">
      <c r="C88" s="186" t="s">
        <v>192</v>
      </c>
      <c r="D88" s="186"/>
      <c r="E88" s="87" t="s">
        <v>607</v>
      </c>
      <c r="F88" s="12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x14ac:dyDescent="0.2">
      <c r="A89" t="s">
        <v>207</v>
      </c>
      <c r="C89">
        <f>+C22</f>
        <v>40</v>
      </c>
      <c r="E89" s="3">
        <f>+B22</f>
        <v>28320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x14ac:dyDescent="0.2">
      <c r="A90" t="s">
        <v>606</v>
      </c>
      <c r="C90" s="11">
        <v>0</v>
      </c>
      <c r="D90" s="14">
        <f>-C90/C89</f>
        <v>0</v>
      </c>
      <c r="E90" s="3">
        <f>-B18*C18</f>
        <v>0</v>
      </c>
      <c r="F90" s="9">
        <f>-E90/E89</f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x14ac:dyDescent="0.2">
      <c r="A91" t="s">
        <v>604</v>
      </c>
      <c r="C91">
        <f>+C89+C90</f>
        <v>40</v>
      </c>
      <c r="D91" s="123">
        <f>1-D90</f>
        <v>1</v>
      </c>
      <c r="E91" s="3">
        <f>+E89+E90</f>
        <v>28320</v>
      </c>
      <c r="F91" s="9">
        <f>1-F90</f>
        <v>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x14ac:dyDescent="0.2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2">
      <c r="A93" s="63" t="s">
        <v>533</v>
      </c>
      <c r="C93" s="10">
        <f>+(D12*F12+D13*F13+D14*F14+D15*F15+D16*F16+D17*F17)/C91</f>
        <v>0.3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x14ac:dyDescent="0.2">
      <c r="A94" s="63" t="s">
        <v>534</v>
      </c>
      <c r="C94" s="9">
        <f>+(C12+C13+C15+C16)/C91</f>
        <v>1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x14ac:dyDescent="0.2">
      <c r="A95" s="63" t="s">
        <v>601</v>
      </c>
      <c r="C95" s="9">
        <f>+(C12+C15)/C91</f>
        <v>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2">
      <c r="A96" s="63" t="s">
        <v>602</v>
      </c>
      <c r="C96" s="9">
        <f>+(C12+C13+C14)/C91</f>
        <v>1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x14ac:dyDescent="0.2">
      <c r="A97" s="1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x14ac:dyDescent="0.2">
      <c r="B98" s="65"/>
      <c r="C98" s="6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2">
      <c r="A99" s="63"/>
      <c r="B99" s="65"/>
      <c r="C99" s="110"/>
      <c r="E99" s="3"/>
      <c r="F99" s="3"/>
      <c r="G99" s="3"/>
      <c r="H99" s="106"/>
      <c r="I99" s="107"/>
      <c r="J99" s="32"/>
      <c r="K99" s="32"/>
      <c r="L99" s="32"/>
      <c r="M99" s="32"/>
      <c r="N99" s="32"/>
      <c r="O99" s="32"/>
      <c r="P99" s="32"/>
      <c r="Q99" s="32"/>
      <c r="R99" s="32"/>
    </row>
    <row r="100" spans="1:18" x14ac:dyDescent="0.2">
      <c r="B100" s="65"/>
      <c r="C100" s="65"/>
      <c r="D100" s="65"/>
      <c r="E100" s="65"/>
      <c r="F100" s="65"/>
      <c r="G100" s="65"/>
      <c r="H100" s="65"/>
      <c r="I100" s="65"/>
    </row>
    <row r="101" spans="1:18" x14ac:dyDescent="0.2">
      <c r="I101" s="9"/>
    </row>
    <row r="102" spans="1:18" x14ac:dyDescent="0.2">
      <c r="I102" s="9"/>
    </row>
    <row r="103" spans="1:18" x14ac:dyDescent="0.2">
      <c r="C103" s="3"/>
      <c r="D103" s="11"/>
      <c r="I103" s="9"/>
      <c r="J103" s="63"/>
    </row>
    <row r="104" spans="1:18" x14ac:dyDescent="0.2">
      <c r="C104" s="14"/>
    </row>
    <row r="105" spans="1:18" x14ac:dyDescent="0.2">
      <c r="B105" s="6"/>
      <c r="C105" s="6"/>
      <c r="D105" s="6"/>
    </row>
    <row r="106" spans="1:18" x14ac:dyDescent="0.2">
      <c r="B106" s="65"/>
      <c r="C106" s="65"/>
      <c r="D106" s="65"/>
    </row>
    <row r="107" spans="1:18" x14ac:dyDescent="0.2">
      <c r="A107" s="63"/>
    </row>
    <row r="108" spans="1:18" x14ac:dyDescent="0.2">
      <c r="A108" s="63"/>
    </row>
    <row r="109" spans="1:18" x14ac:dyDescent="0.2">
      <c r="A109" s="63"/>
    </row>
    <row r="110" spans="1:18" x14ac:dyDescent="0.2">
      <c r="A110" s="63"/>
    </row>
    <row r="111" spans="1:18" x14ac:dyDescent="0.2">
      <c r="A111" s="63"/>
    </row>
    <row r="112" spans="1:18" x14ac:dyDescent="0.2">
      <c r="A112" s="63"/>
      <c r="B112" s="11"/>
      <c r="C112" s="11"/>
      <c r="D112" s="11"/>
    </row>
    <row r="113" spans="1:6" x14ac:dyDescent="0.2">
      <c r="A113" s="63"/>
      <c r="B113" s="105"/>
      <c r="C113" s="105"/>
      <c r="D113" s="105"/>
    </row>
    <row r="118" spans="1:6" x14ac:dyDescent="0.2">
      <c r="B118" s="11"/>
      <c r="C118" s="11"/>
    </row>
    <row r="122" spans="1:6" x14ac:dyDescent="0.2">
      <c r="B122" s="11"/>
      <c r="C122" s="11"/>
    </row>
    <row r="126" spans="1:6" x14ac:dyDescent="0.2">
      <c r="B126" s="3"/>
      <c r="C126" s="3"/>
      <c r="E126" s="3"/>
      <c r="F126" s="3"/>
    </row>
    <row r="127" spans="1:6" x14ac:dyDescent="0.2">
      <c r="B127" s="3"/>
      <c r="C127" s="3"/>
      <c r="E127" s="3"/>
      <c r="F127" s="3"/>
    </row>
    <row r="129" spans="1:6" x14ac:dyDescent="0.2">
      <c r="C129" s="3"/>
    </row>
    <row r="130" spans="1:6" x14ac:dyDescent="0.2">
      <c r="E130" s="3"/>
      <c r="F130" s="3"/>
    </row>
    <row r="131" spans="1:6" x14ac:dyDescent="0.2">
      <c r="E131" s="3"/>
      <c r="F131" s="3"/>
    </row>
    <row r="132" spans="1:6" outlineLevel="1" x14ac:dyDescent="0.2">
      <c r="E132" s="32"/>
      <c r="F132" s="32"/>
    </row>
    <row r="133" spans="1:6" outlineLevel="1" x14ac:dyDescent="0.2"/>
    <row r="134" spans="1:6" outlineLevel="1" x14ac:dyDescent="0.2">
      <c r="B134" s="3"/>
      <c r="C134" s="3"/>
    </row>
    <row r="135" spans="1:6" outlineLevel="1" x14ac:dyDescent="0.2">
      <c r="B135" s="3"/>
      <c r="C135" s="3"/>
    </row>
    <row r="136" spans="1:6" ht="15" outlineLevel="1" x14ac:dyDescent="0.35">
      <c r="B136" s="4"/>
      <c r="C136" s="3"/>
    </row>
    <row r="137" spans="1:6" outlineLevel="1" x14ac:dyDescent="0.2">
      <c r="B137" s="3"/>
      <c r="C137" s="3"/>
    </row>
    <row r="138" spans="1:6" outlineLevel="1" x14ac:dyDescent="0.2">
      <c r="B138" s="3"/>
      <c r="C138" s="3"/>
    </row>
    <row r="139" spans="1:6" outlineLevel="1" x14ac:dyDescent="0.2">
      <c r="B139" s="3"/>
      <c r="C139" s="13"/>
    </row>
    <row r="140" spans="1:6" outlineLevel="1" x14ac:dyDescent="0.2">
      <c r="A140" s="63"/>
      <c r="B140" s="3"/>
      <c r="C140" s="13"/>
    </row>
    <row r="141" spans="1:6" ht="15" outlineLevel="1" x14ac:dyDescent="0.35">
      <c r="A141" s="63"/>
      <c r="B141" s="3"/>
      <c r="C141" s="4"/>
      <c r="D141" s="63"/>
    </row>
    <row r="142" spans="1:6" outlineLevel="1" x14ac:dyDescent="0.2">
      <c r="B142" s="3"/>
      <c r="C142" s="3"/>
    </row>
    <row r="143" spans="1:6" ht="15" outlineLevel="1" x14ac:dyDescent="0.35">
      <c r="A143" s="63"/>
      <c r="B143" s="3"/>
      <c r="C143" s="4"/>
    </row>
    <row r="144" spans="1:6" outlineLevel="1" x14ac:dyDescent="0.2">
      <c r="A144" s="63"/>
      <c r="B144" s="3"/>
      <c r="C144" s="3"/>
    </row>
    <row r="145" spans="1:4" outlineLevel="1" x14ac:dyDescent="0.2">
      <c r="A145" s="63"/>
      <c r="B145" s="3"/>
      <c r="C145" s="53"/>
    </row>
    <row r="146" spans="1:4" outlineLevel="1" x14ac:dyDescent="0.2">
      <c r="A146" s="63"/>
      <c r="B146" s="3"/>
      <c r="C146" s="3"/>
    </row>
    <row r="147" spans="1:4" outlineLevel="1" x14ac:dyDescent="0.2">
      <c r="A147" s="1"/>
      <c r="B147" s="3"/>
      <c r="C147" s="3"/>
    </row>
    <row r="148" spans="1:4" outlineLevel="1" x14ac:dyDescent="0.2">
      <c r="A148" s="63"/>
      <c r="B148" s="3"/>
      <c r="C148" s="3"/>
    </row>
    <row r="149" spans="1:4" outlineLevel="1" x14ac:dyDescent="0.2">
      <c r="A149" s="63"/>
      <c r="B149" s="3"/>
      <c r="C149" s="3"/>
    </row>
    <row r="150" spans="1:4" outlineLevel="1" x14ac:dyDescent="0.2">
      <c r="A150" s="63"/>
      <c r="B150" s="3"/>
      <c r="C150" s="3"/>
    </row>
    <row r="151" spans="1:4" outlineLevel="1" x14ac:dyDescent="0.2">
      <c r="A151" s="63"/>
      <c r="B151" s="3"/>
      <c r="C151" s="3"/>
    </row>
    <row r="152" spans="1:4" outlineLevel="1" x14ac:dyDescent="0.2">
      <c r="A152" s="63"/>
      <c r="C152" s="10"/>
      <c r="D152" s="63"/>
    </row>
    <row r="153" spans="1:4" outlineLevel="1" x14ac:dyDescent="0.2">
      <c r="A153" s="63"/>
      <c r="C153" s="8"/>
    </row>
    <row r="154" spans="1:4" outlineLevel="1" x14ac:dyDescent="0.2">
      <c r="A154" s="63"/>
      <c r="C154" s="3"/>
    </row>
    <row r="155" spans="1:4" outlineLevel="1" x14ac:dyDescent="0.2">
      <c r="A155" s="63"/>
      <c r="C155" s="8"/>
      <c r="D155" s="114"/>
    </row>
  </sheetData>
  <mergeCells count="1">
    <mergeCell ref="C88:D88"/>
  </mergeCells>
  <phoneticPr fontId="0" type="noConversion"/>
  <pageMargins left="0.75" right="0.75" top="1" bottom="1" header="0.5" footer="0.5"/>
  <pageSetup scale="4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1"/>
  <sheetViews>
    <sheetView workbookViewId="0">
      <selection activeCell="B19" sqref="B19"/>
    </sheetView>
  </sheetViews>
  <sheetFormatPr defaultRowHeight="12.75" x14ac:dyDescent="0.2"/>
  <cols>
    <col min="1" max="1" width="49.42578125" customWidth="1"/>
    <col min="2" max="3" width="11.28515625" bestFit="1" customWidth="1"/>
    <col min="4" max="16" width="11.140625" customWidth="1"/>
  </cols>
  <sheetData>
    <row r="1" spans="1:16" x14ac:dyDescent="0.2">
      <c r="A1" s="1" t="str">
        <f>+SUMMARY!B1</f>
        <v>MVHO - TINY HOME COMMUNITY</v>
      </c>
    </row>
    <row r="2" spans="1:16" x14ac:dyDescent="0.2">
      <c r="A2" s="1" t="s">
        <v>285</v>
      </c>
    </row>
    <row r="3" spans="1:16" x14ac:dyDescent="0.2">
      <c r="A3" s="1" t="str">
        <f>+SUMMARY!B3</f>
        <v>SEPTEMBER 12, 2023</v>
      </c>
    </row>
    <row r="7" spans="1:16" x14ac:dyDescent="0.2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</row>
    <row r="8" spans="1:16" x14ac:dyDescent="0.2">
      <c r="A8" s="63" t="s">
        <v>138</v>
      </c>
      <c r="B8" s="3">
        <f>+'SUMMARY PROFORMA'!L24</f>
        <v>392160</v>
      </c>
      <c r="C8" s="3">
        <f>+B8*(1+$B$47)</f>
        <v>400003.2</v>
      </c>
      <c r="D8" s="3">
        <f t="shared" ref="D8:P8" si="0">+C8*(1+$B$47)</f>
        <v>408003.26400000002</v>
      </c>
      <c r="E8" s="3">
        <f t="shared" si="0"/>
        <v>416163.32928000001</v>
      </c>
      <c r="F8" s="3">
        <f t="shared" si="0"/>
        <v>424486.59586559999</v>
      </c>
      <c r="G8" s="3">
        <f t="shared" si="0"/>
        <v>432976.32778291201</v>
      </c>
      <c r="H8" s="3">
        <f t="shared" si="0"/>
        <v>441635.85433857027</v>
      </c>
      <c r="I8" s="3">
        <f t="shared" si="0"/>
        <v>450468.57142534165</v>
      </c>
      <c r="J8" s="3">
        <f t="shared" si="0"/>
        <v>459477.94285384851</v>
      </c>
      <c r="K8" s="3">
        <f t="shared" si="0"/>
        <v>468667.50171092548</v>
      </c>
      <c r="L8" s="3">
        <f t="shared" si="0"/>
        <v>478040.851745144</v>
      </c>
      <c r="M8" s="3">
        <f t="shared" si="0"/>
        <v>487601.66878004686</v>
      </c>
      <c r="N8" s="3">
        <f t="shared" si="0"/>
        <v>497353.7021556478</v>
      </c>
      <c r="O8" s="3">
        <f t="shared" si="0"/>
        <v>507300.77619876078</v>
      </c>
      <c r="P8" s="3">
        <f t="shared" si="0"/>
        <v>517446.79172273603</v>
      </c>
    </row>
    <row r="9" spans="1:16" x14ac:dyDescent="0.2">
      <c r="A9" s="63" t="s">
        <v>286</v>
      </c>
      <c r="B9" s="3">
        <f>+'SUMMARY PROFORMA'!L25</f>
        <v>-27451</v>
      </c>
      <c r="C9" s="3">
        <f>+B9*(1+$B$47)</f>
        <v>-28000.02</v>
      </c>
      <c r="D9" s="3">
        <f t="shared" ref="D9:P9" si="1">+C9*(1+$B$47)</f>
        <v>-28560.020400000001</v>
      </c>
      <c r="E9" s="3">
        <f t="shared" si="1"/>
        <v>-29131.220808000002</v>
      </c>
      <c r="F9" s="3">
        <f t="shared" si="1"/>
        <v>-29713.845224160003</v>
      </c>
      <c r="G9" s="3">
        <f t="shared" si="1"/>
        <v>-30308.122128643205</v>
      </c>
      <c r="H9" s="3">
        <f t="shared" si="1"/>
        <v>-30914.284571216071</v>
      </c>
      <c r="I9" s="3">
        <f t="shared" si="1"/>
        <v>-31532.570262640391</v>
      </c>
      <c r="J9" s="3">
        <f t="shared" si="1"/>
        <v>-32163.221667893198</v>
      </c>
      <c r="K9" s="3">
        <f t="shared" si="1"/>
        <v>-32806.486101251059</v>
      </c>
      <c r="L9" s="3">
        <f t="shared" si="1"/>
        <v>-33462.615823276079</v>
      </c>
      <c r="M9" s="3">
        <f t="shared" si="1"/>
        <v>-34131.8681397416</v>
      </c>
      <c r="N9" s="3">
        <f t="shared" si="1"/>
        <v>-34814.505502536435</v>
      </c>
      <c r="O9" s="3">
        <f t="shared" si="1"/>
        <v>-35510.795612587164</v>
      </c>
      <c r="P9" s="3">
        <f t="shared" si="1"/>
        <v>-36221.011524838905</v>
      </c>
    </row>
    <row r="10" spans="1:16" ht="15" x14ac:dyDescent="0.35">
      <c r="A10" s="63" t="s">
        <v>287</v>
      </c>
      <c r="B10" s="4">
        <f>+'SUMMARY PROFORMA'!L27</f>
        <v>0</v>
      </c>
      <c r="C10" s="4">
        <f>+B10*(1+B$47)</f>
        <v>0</v>
      </c>
      <c r="D10" s="4">
        <f t="shared" ref="D10:P10" si="2">+C10*(1+C$47)</f>
        <v>0</v>
      </c>
      <c r="E10" s="4">
        <f t="shared" si="2"/>
        <v>0</v>
      </c>
      <c r="F10" s="4">
        <f t="shared" si="2"/>
        <v>0</v>
      </c>
      <c r="G10" s="4">
        <f t="shared" si="2"/>
        <v>0</v>
      </c>
      <c r="H10" s="4">
        <f t="shared" si="2"/>
        <v>0</v>
      </c>
      <c r="I10" s="4">
        <f t="shared" si="2"/>
        <v>0</v>
      </c>
      <c r="J10" s="4">
        <f t="shared" si="2"/>
        <v>0</v>
      </c>
      <c r="K10" s="4">
        <f t="shared" si="2"/>
        <v>0</v>
      </c>
      <c r="L10" s="4">
        <f t="shared" si="2"/>
        <v>0</v>
      </c>
      <c r="M10" s="4">
        <f t="shared" si="2"/>
        <v>0</v>
      </c>
      <c r="N10" s="4">
        <f t="shared" si="2"/>
        <v>0</v>
      </c>
      <c r="O10" s="4">
        <f t="shared" si="2"/>
        <v>0</v>
      </c>
      <c r="P10" s="4">
        <f t="shared" si="2"/>
        <v>0</v>
      </c>
    </row>
    <row r="11" spans="1:16" x14ac:dyDescent="0.2">
      <c r="A11" s="63" t="s">
        <v>288</v>
      </c>
      <c r="B11" s="3">
        <f>SUM(B8:B10)</f>
        <v>364709</v>
      </c>
      <c r="C11" s="3">
        <f t="shared" ref="C11:P11" si="3">SUM(C8:C10)</f>
        <v>372003.18</v>
      </c>
      <c r="D11" s="3">
        <f t="shared" si="3"/>
        <v>379443.24360000005</v>
      </c>
      <c r="E11" s="3">
        <f t="shared" si="3"/>
        <v>387032.10847199999</v>
      </c>
      <c r="F11" s="3">
        <f t="shared" si="3"/>
        <v>394772.75064143998</v>
      </c>
      <c r="G11" s="3">
        <f t="shared" si="3"/>
        <v>402668.20565426879</v>
      </c>
      <c r="H11" s="3">
        <f t="shared" si="3"/>
        <v>410721.56976735417</v>
      </c>
      <c r="I11" s="3">
        <f t="shared" si="3"/>
        <v>418936.00116270129</v>
      </c>
      <c r="J11" s="3">
        <f t="shared" si="3"/>
        <v>427314.72118595534</v>
      </c>
      <c r="K11" s="3">
        <f t="shared" si="3"/>
        <v>435861.01560967445</v>
      </c>
      <c r="L11" s="3">
        <f t="shared" si="3"/>
        <v>444578.23592186789</v>
      </c>
      <c r="M11" s="3">
        <f t="shared" si="3"/>
        <v>453469.80064030527</v>
      </c>
      <c r="N11" s="3">
        <f t="shared" si="3"/>
        <v>462539.19665311137</v>
      </c>
      <c r="O11" s="3">
        <f t="shared" si="3"/>
        <v>471789.98058617359</v>
      </c>
      <c r="P11" s="3">
        <f t="shared" si="3"/>
        <v>481225.78019789711</v>
      </c>
    </row>
    <row r="12" spans="1:16" x14ac:dyDescent="0.2"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x14ac:dyDescent="0.2">
      <c r="A13" s="63" t="s">
        <v>263</v>
      </c>
      <c r="B13" s="3">
        <f>+'SUMMARY PROFORMA'!D79</f>
        <v>299863.63</v>
      </c>
      <c r="C13" s="3">
        <f>+B13*(1+$B$48)</f>
        <v>308859.53889999999</v>
      </c>
      <c r="D13" s="3">
        <f t="shared" ref="D13:P13" si="4">+C13*(1+$B$48)</f>
        <v>318125.325067</v>
      </c>
      <c r="E13" s="3">
        <f t="shared" si="4"/>
        <v>327669.08481900999</v>
      </c>
      <c r="F13" s="3">
        <f t="shared" si="4"/>
        <v>337499.15736358031</v>
      </c>
      <c r="G13" s="3">
        <f t="shared" si="4"/>
        <v>347624.1320844877</v>
      </c>
      <c r="H13" s="3">
        <f t="shared" si="4"/>
        <v>358052.85604702233</v>
      </c>
      <c r="I13" s="3">
        <f t="shared" si="4"/>
        <v>368794.44172843301</v>
      </c>
      <c r="J13" s="3">
        <f t="shared" si="4"/>
        <v>379858.27498028602</v>
      </c>
      <c r="K13" s="3">
        <f t="shared" si="4"/>
        <v>391254.02322969463</v>
      </c>
      <c r="L13" s="3">
        <f t="shared" si="4"/>
        <v>402991.6439265855</v>
      </c>
      <c r="M13" s="3">
        <f t="shared" si="4"/>
        <v>415081.3932443831</v>
      </c>
      <c r="N13" s="3">
        <f t="shared" si="4"/>
        <v>427533.8350417146</v>
      </c>
      <c r="O13" s="3">
        <f t="shared" si="4"/>
        <v>440359.85009296605</v>
      </c>
      <c r="P13" s="3">
        <f t="shared" si="4"/>
        <v>453570.64559575502</v>
      </c>
    </row>
    <row r="14" spans="1:16" ht="15" x14ac:dyDescent="0.35">
      <c r="A14" s="63" t="s">
        <v>609</v>
      </c>
      <c r="B14" s="4">
        <f>+'SUMMARY PROFORMA'!D80</f>
        <v>15000</v>
      </c>
      <c r="C14" s="4">
        <f>+B14*(1+$B$48)</f>
        <v>15450</v>
      </c>
      <c r="D14" s="4">
        <f t="shared" ref="D14:P14" si="5">+C14*(1+$B$48)</f>
        <v>15913.5</v>
      </c>
      <c r="E14" s="4">
        <f t="shared" si="5"/>
        <v>16390.904999999999</v>
      </c>
      <c r="F14" s="4">
        <f t="shared" si="5"/>
        <v>16882.632149999998</v>
      </c>
      <c r="G14" s="4">
        <f t="shared" si="5"/>
        <v>17389.1111145</v>
      </c>
      <c r="H14" s="4">
        <f t="shared" si="5"/>
        <v>17910.784447934999</v>
      </c>
      <c r="I14" s="4">
        <f t="shared" si="5"/>
        <v>18448.10798137305</v>
      </c>
      <c r="J14" s="4">
        <f t="shared" si="5"/>
        <v>19001.551220814243</v>
      </c>
      <c r="K14" s="4">
        <f t="shared" si="5"/>
        <v>19571.597757438671</v>
      </c>
      <c r="L14" s="4">
        <f t="shared" si="5"/>
        <v>20158.745690161832</v>
      </c>
      <c r="M14" s="4">
        <f t="shared" si="5"/>
        <v>20763.508060866687</v>
      </c>
      <c r="N14" s="4">
        <f t="shared" si="5"/>
        <v>21386.413302692687</v>
      </c>
      <c r="O14" s="4">
        <f t="shared" si="5"/>
        <v>22028.005701773469</v>
      </c>
      <c r="P14" s="4">
        <f t="shared" si="5"/>
        <v>22688.845872826674</v>
      </c>
    </row>
    <row r="15" spans="1:16" x14ac:dyDescent="0.2">
      <c r="A15" s="9">
        <f>+B15/B11</f>
        <v>0.86332837961223885</v>
      </c>
      <c r="B15" s="3">
        <f>SUM(B13:B14)</f>
        <v>314863.63</v>
      </c>
      <c r="C15" s="3">
        <f t="shared" ref="C15:P15" si="6">SUM(C13:C14)</f>
        <v>324309.53889999999</v>
      </c>
      <c r="D15" s="3">
        <f t="shared" si="6"/>
        <v>334038.825067</v>
      </c>
      <c r="E15" s="3">
        <f t="shared" si="6"/>
        <v>344059.98981901002</v>
      </c>
      <c r="F15" s="3">
        <f t="shared" si="6"/>
        <v>354381.78951358033</v>
      </c>
      <c r="G15" s="3">
        <f t="shared" si="6"/>
        <v>365013.24319898768</v>
      </c>
      <c r="H15" s="3">
        <f t="shared" si="6"/>
        <v>375963.64049495733</v>
      </c>
      <c r="I15" s="3">
        <f t="shared" si="6"/>
        <v>387242.54970980604</v>
      </c>
      <c r="J15" s="3">
        <f t="shared" si="6"/>
        <v>398859.82620110025</v>
      </c>
      <c r="K15" s="3">
        <f t="shared" si="6"/>
        <v>410825.6209871333</v>
      </c>
      <c r="L15" s="3">
        <f t="shared" si="6"/>
        <v>423150.38961674733</v>
      </c>
      <c r="M15" s="3">
        <f t="shared" si="6"/>
        <v>435844.90130524978</v>
      </c>
      <c r="N15" s="3">
        <f t="shared" si="6"/>
        <v>448920.2483444073</v>
      </c>
      <c r="O15" s="3">
        <f t="shared" si="6"/>
        <v>462387.8557947395</v>
      </c>
      <c r="P15" s="3">
        <f t="shared" si="6"/>
        <v>476259.49146858172</v>
      </c>
    </row>
    <row r="16" spans="1:16" x14ac:dyDescent="0.2"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</row>
    <row r="17" spans="1:16" x14ac:dyDescent="0.2">
      <c r="A17" s="63" t="s">
        <v>280</v>
      </c>
      <c r="B17" s="3">
        <f>+B11-B15</f>
        <v>49845.369999999995</v>
      </c>
      <c r="C17" s="3">
        <f t="shared" ref="C17:P17" si="7">+C11-C15</f>
        <v>47693.641100000008</v>
      </c>
      <c r="D17" s="3">
        <f t="shared" si="7"/>
        <v>45404.418533000047</v>
      </c>
      <c r="E17" s="3">
        <f t="shared" si="7"/>
        <v>42972.118652989971</v>
      </c>
      <c r="F17" s="3">
        <f t="shared" si="7"/>
        <v>40390.961127859657</v>
      </c>
      <c r="G17" s="3">
        <f t="shared" si="7"/>
        <v>37654.962455281115</v>
      </c>
      <c r="H17" s="3">
        <f t="shared" si="7"/>
        <v>34757.929272396839</v>
      </c>
      <c r="I17" s="3">
        <f t="shared" si="7"/>
        <v>31693.451452895242</v>
      </c>
      <c r="J17" s="3">
        <f t="shared" si="7"/>
        <v>28454.894984855084</v>
      </c>
      <c r="K17" s="3">
        <f t="shared" si="7"/>
        <v>25035.394622541149</v>
      </c>
      <c r="L17" s="3">
        <f t="shared" si="7"/>
        <v>21427.846305120562</v>
      </c>
      <c r="M17" s="3">
        <f t="shared" si="7"/>
        <v>17624.899335055496</v>
      </c>
      <c r="N17" s="3">
        <f t="shared" si="7"/>
        <v>13618.948308704072</v>
      </c>
      <c r="O17" s="3">
        <f t="shared" si="7"/>
        <v>9402.1247914340929</v>
      </c>
      <c r="P17" s="3">
        <f t="shared" si="7"/>
        <v>4966.2887293153908</v>
      </c>
    </row>
    <row r="18" spans="1:16" x14ac:dyDescent="0.2">
      <c r="A18" s="6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">
      <c r="A19" s="63" t="s">
        <v>599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">
      <c r="A20" s="6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">
      <c r="A21" s="63" t="s">
        <v>600</v>
      </c>
      <c r="B21" s="3">
        <f>+B17-B19</f>
        <v>49845.369999999995</v>
      </c>
      <c r="C21" s="3">
        <f t="shared" ref="C21:P21" si="8">+C17-C19</f>
        <v>47693.641100000008</v>
      </c>
      <c r="D21" s="3">
        <f t="shared" si="8"/>
        <v>45404.418533000047</v>
      </c>
      <c r="E21" s="3">
        <f t="shared" si="8"/>
        <v>42972.118652989971</v>
      </c>
      <c r="F21" s="3">
        <f t="shared" si="8"/>
        <v>40390.961127859657</v>
      </c>
      <c r="G21" s="3">
        <f t="shared" si="8"/>
        <v>37654.962455281115</v>
      </c>
      <c r="H21" s="3">
        <f t="shared" si="8"/>
        <v>34757.929272396839</v>
      </c>
      <c r="I21" s="3">
        <f t="shared" si="8"/>
        <v>31693.451452895242</v>
      </c>
      <c r="J21" s="3">
        <f t="shared" si="8"/>
        <v>28454.894984855084</v>
      </c>
      <c r="K21" s="3">
        <f t="shared" si="8"/>
        <v>25035.394622541149</v>
      </c>
      <c r="L21" s="3">
        <f t="shared" si="8"/>
        <v>21427.846305120562</v>
      </c>
      <c r="M21" s="3">
        <f t="shared" si="8"/>
        <v>17624.899335055496</v>
      </c>
      <c r="N21" s="3">
        <f t="shared" si="8"/>
        <v>13618.948308704072</v>
      </c>
      <c r="O21" s="3">
        <f t="shared" si="8"/>
        <v>9402.1247914340929</v>
      </c>
      <c r="P21" s="3">
        <f t="shared" si="8"/>
        <v>4966.2887293153908</v>
      </c>
    </row>
    <row r="22" spans="1:16" x14ac:dyDescent="0.2">
      <c r="A22" s="63" t="s">
        <v>289</v>
      </c>
      <c r="B22" s="3">
        <v>0</v>
      </c>
      <c r="C22" s="3">
        <f>+B22</f>
        <v>0</v>
      </c>
      <c r="D22" s="3">
        <f t="shared" ref="D22:P22" si="9">+C22</f>
        <v>0</v>
      </c>
      <c r="E22" s="3">
        <f t="shared" si="9"/>
        <v>0</v>
      </c>
      <c r="F22" s="3">
        <f t="shared" si="9"/>
        <v>0</v>
      </c>
      <c r="G22" s="3">
        <f t="shared" si="9"/>
        <v>0</v>
      </c>
      <c r="H22" s="3">
        <f t="shared" si="9"/>
        <v>0</v>
      </c>
      <c r="I22" s="3">
        <f t="shared" si="9"/>
        <v>0</v>
      </c>
      <c r="J22" s="3">
        <f t="shared" si="9"/>
        <v>0</v>
      </c>
      <c r="K22" s="3">
        <f t="shared" si="9"/>
        <v>0</v>
      </c>
      <c r="L22" s="3">
        <f t="shared" si="9"/>
        <v>0</v>
      </c>
      <c r="M22" s="3">
        <f t="shared" si="9"/>
        <v>0</v>
      </c>
      <c r="N22" s="3">
        <f t="shared" si="9"/>
        <v>0</v>
      </c>
      <c r="O22" s="3">
        <f t="shared" si="9"/>
        <v>0</v>
      </c>
      <c r="P22" s="3">
        <f t="shared" si="9"/>
        <v>0</v>
      </c>
    </row>
    <row r="23" spans="1:16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s="63" t="s">
        <v>290</v>
      </c>
      <c r="B24" s="3">
        <f>+B21-B22</f>
        <v>49845.369999999995</v>
      </c>
      <c r="C24" s="3">
        <f t="shared" ref="C24:P24" si="10">+C21-C22</f>
        <v>47693.641100000008</v>
      </c>
      <c r="D24" s="3">
        <f t="shared" si="10"/>
        <v>45404.418533000047</v>
      </c>
      <c r="E24" s="3">
        <f t="shared" si="10"/>
        <v>42972.118652989971</v>
      </c>
      <c r="F24" s="3">
        <f t="shared" si="10"/>
        <v>40390.961127859657</v>
      </c>
      <c r="G24" s="3">
        <f t="shared" si="10"/>
        <v>37654.962455281115</v>
      </c>
      <c r="H24" s="3">
        <f t="shared" si="10"/>
        <v>34757.929272396839</v>
      </c>
      <c r="I24" s="3">
        <f t="shared" si="10"/>
        <v>31693.451452895242</v>
      </c>
      <c r="J24" s="3">
        <f t="shared" si="10"/>
        <v>28454.894984855084</v>
      </c>
      <c r="K24" s="3">
        <f t="shared" si="10"/>
        <v>25035.394622541149</v>
      </c>
      <c r="L24" s="3">
        <f t="shared" si="10"/>
        <v>21427.846305120562</v>
      </c>
      <c r="M24" s="3">
        <f t="shared" si="10"/>
        <v>17624.899335055496</v>
      </c>
      <c r="N24" s="3">
        <f t="shared" si="10"/>
        <v>13618.948308704072</v>
      </c>
      <c r="O24" s="3">
        <f t="shared" si="10"/>
        <v>9402.1247914340929</v>
      </c>
      <c r="P24" s="3">
        <f t="shared" si="10"/>
        <v>4966.2887293153908</v>
      </c>
    </row>
    <row r="25" spans="1:16" x14ac:dyDescent="0.2">
      <c r="A25" s="6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">
      <c r="A26" s="63" t="s">
        <v>621</v>
      </c>
      <c r="B26" s="53">
        <f>+B15/B11</f>
        <v>0.86332837961223885</v>
      </c>
      <c r="C26" s="53">
        <f t="shared" ref="C26:P26" si="11">+C15/C11</f>
        <v>0.87179238333392739</v>
      </c>
      <c r="D26" s="53">
        <f t="shared" si="11"/>
        <v>0.88033936748425989</v>
      </c>
      <c r="E26" s="53">
        <f t="shared" si="11"/>
        <v>0.88897014559685095</v>
      </c>
      <c r="F26" s="53">
        <f t="shared" si="11"/>
        <v>0.89768553918113381</v>
      </c>
      <c r="G26" s="53">
        <f t="shared" si="11"/>
        <v>0.90648637780055652</v>
      </c>
      <c r="H26" s="53">
        <f t="shared" si="11"/>
        <v>0.91537349915154242</v>
      </c>
      <c r="I26" s="53">
        <f t="shared" si="11"/>
        <v>0.92434774914322404</v>
      </c>
      <c r="J26" s="53">
        <f t="shared" si="11"/>
        <v>0.93340998197796154</v>
      </c>
      <c r="K26" s="53">
        <f t="shared" si="11"/>
        <v>0.94256106023264752</v>
      </c>
      <c r="L26" s="53">
        <f t="shared" si="11"/>
        <v>0.95180185494081093</v>
      </c>
      <c r="M26" s="53">
        <f t="shared" si="11"/>
        <v>0.96113324567552483</v>
      </c>
      <c r="N26" s="53">
        <f t="shared" si="11"/>
        <v>0.97055612063312802</v>
      </c>
      <c r="O26" s="53">
        <f t="shared" si="11"/>
        <v>0.98007137671776656</v>
      </c>
      <c r="P26" s="53">
        <f t="shared" si="11"/>
        <v>0.98967991962676427</v>
      </c>
    </row>
    <row r="27" spans="1:16" x14ac:dyDescent="0.2">
      <c r="A27" s="63" t="s">
        <v>635</v>
      </c>
      <c r="B27" s="53">
        <f>AVERAGE(B26:P26)</f>
        <v>0.92516913340722262</v>
      </c>
      <c r="C27" s="3"/>
    </row>
    <row r="28" spans="1:16" x14ac:dyDescent="0.2">
      <c r="B28" s="3"/>
      <c r="C28" s="3"/>
    </row>
    <row r="29" spans="1:16" x14ac:dyDescent="0.2">
      <c r="A29" s="63" t="s">
        <v>205</v>
      </c>
      <c r="B29" s="3"/>
      <c r="C29" s="3"/>
    </row>
    <row r="30" spans="1:16" x14ac:dyDescent="0.2">
      <c r="A30" s="63" t="s">
        <v>294</v>
      </c>
      <c r="B30" s="3">
        <f>+SUMMARY!F83</f>
        <v>0</v>
      </c>
      <c r="C30" s="3">
        <f>+B32</f>
        <v>0</v>
      </c>
      <c r="D30" s="3">
        <f t="shared" ref="D30:P30" si="12">+C32</f>
        <v>0</v>
      </c>
      <c r="E30" s="3">
        <f t="shared" si="12"/>
        <v>0</v>
      </c>
      <c r="F30" s="3">
        <f t="shared" si="12"/>
        <v>0</v>
      </c>
      <c r="G30" s="3">
        <f t="shared" si="12"/>
        <v>0</v>
      </c>
      <c r="H30" s="3">
        <f t="shared" si="12"/>
        <v>0</v>
      </c>
      <c r="I30" s="3">
        <f t="shared" si="12"/>
        <v>0</v>
      </c>
      <c r="J30" s="3">
        <f t="shared" si="12"/>
        <v>0</v>
      </c>
      <c r="K30" s="3">
        <f t="shared" si="12"/>
        <v>0</v>
      </c>
      <c r="L30" s="3">
        <f t="shared" si="12"/>
        <v>0</v>
      </c>
      <c r="M30" s="3">
        <f t="shared" si="12"/>
        <v>0</v>
      </c>
      <c r="N30" s="3">
        <f t="shared" si="12"/>
        <v>0</v>
      </c>
      <c r="O30" s="3">
        <f t="shared" si="12"/>
        <v>0</v>
      </c>
      <c r="P30" s="3">
        <f t="shared" si="12"/>
        <v>0</v>
      </c>
    </row>
    <row r="31" spans="1:16" x14ac:dyDescent="0.2">
      <c r="A31" s="63" t="s">
        <v>295</v>
      </c>
      <c r="B31" s="3">
        <f>MIN(B30,B24)</f>
        <v>0</v>
      </c>
      <c r="C31" s="3">
        <f>MIN(C30,C24)</f>
        <v>0</v>
      </c>
      <c r="D31" s="3">
        <f t="shared" ref="D31:P31" si="13">MIN(D30,D24)</f>
        <v>0</v>
      </c>
      <c r="E31" s="3">
        <f t="shared" si="13"/>
        <v>0</v>
      </c>
      <c r="F31" s="3">
        <f t="shared" si="13"/>
        <v>0</v>
      </c>
      <c r="G31" s="3">
        <f t="shared" si="13"/>
        <v>0</v>
      </c>
      <c r="H31" s="3">
        <f t="shared" si="13"/>
        <v>0</v>
      </c>
      <c r="I31" s="3">
        <f t="shared" si="13"/>
        <v>0</v>
      </c>
      <c r="J31" s="3">
        <f t="shared" si="13"/>
        <v>0</v>
      </c>
      <c r="K31" s="3">
        <f t="shared" si="13"/>
        <v>0</v>
      </c>
      <c r="L31" s="3">
        <f t="shared" si="13"/>
        <v>0</v>
      </c>
      <c r="M31" s="3">
        <f t="shared" si="13"/>
        <v>0</v>
      </c>
      <c r="N31" s="3">
        <f t="shared" si="13"/>
        <v>0</v>
      </c>
      <c r="O31" s="3">
        <f t="shared" si="13"/>
        <v>0</v>
      </c>
      <c r="P31" s="3">
        <f t="shared" si="13"/>
        <v>0</v>
      </c>
    </row>
    <row r="32" spans="1:16" x14ac:dyDescent="0.2">
      <c r="A32" s="63" t="s">
        <v>296</v>
      </c>
      <c r="B32" s="3">
        <f>+B30-B31</f>
        <v>0</v>
      </c>
      <c r="C32" s="3">
        <f>+C30-C31</f>
        <v>0</v>
      </c>
      <c r="D32" s="3">
        <f t="shared" ref="D32:P32" si="14">+D30-D31</f>
        <v>0</v>
      </c>
      <c r="E32" s="3">
        <f t="shared" si="14"/>
        <v>0</v>
      </c>
      <c r="F32" s="3">
        <f t="shared" si="14"/>
        <v>0</v>
      </c>
      <c r="G32" s="3">
        <f t="shared" si="14"/>
        <v>0</v>
      </c>
      <c r="H32" s="3">
        <f t="shared" si="14"/>
        <v>0</v>
      </c>
      <c r="I32" s="3">
        <f t="shared" si="14"/>
        <v>0</v>
      </c>
      <c r="J32" s="3">
        <f t="shared" si="14"/>
        <v>0</v>
      </c>
      <c r="K32" s="3">
        <f t="shared" si="14"/>
        <v>0</v>
      </c>
      <c r="L32" s="3">
        <f t="shared" si="14"/>
        <v>0</v>
      </c>
      <c r="M32" s="3">
        <f t="shared" si="14"/>
        <v>0</v>
      </c>
      <c r="N32" s="3">
        <f t="shared" si="14"/>
        <v>0</v>
      </c>
      <c r="O32" s="3">
        <f t="shared" si="14"/>
        <v>0</v>
      </c>
      <c r="P32" s="3">
        <f t="shared" si="14"/>
        <v>0</v>
      </c>
    </row>
    <row r="33" spans="1:16" x14ac:dyDescent="0.2">
      <c r="B33" s="3"/>
      <c r="C33" s="3"/>
    </row>
    <row r="34" spans="1:16" x14ac:dyDescent="0.2">
      <c r="A34" s="63" t="s">
        <v>291</v>
      </c>
      <c r="B34" s="3">
        <f>+B24-B31</f>
        <v>49845.369999999995</v>
      </c>
      <c r="C34" s="3">
        <f t="shared" ref="C34:P34" si="15">+C24-C31</f>
        <v>47693.641100000008</v>
      </c>
      <c r="D34" s="3">
        <f t="shared" si="15"/>
        <v>45404.418533000047</v>
      </c>
      <c r="E34" s="3">
        <f t="shared" si="15"/>
        <v>42972.118652989971</v>
      </c>
      <c r="F34" s="3">
        <f t="shared" si="15"/>
        <v>40390.961127859657</v>
      </c>
      <c r="G34" s="3">
        <f t="shared" si="15"/>
        <v>37654.962455281115</v>
      </c>
      <c r="H34" s="3">
        <f t="shared" si="15"/>
        <v>34757.929272396839</v>
      </c>
      <c r="I34" s="3">
        <f t="shared" si="15"/>
        <v>31693.451452895242</v>
      </c>
      <c r="J34" s="3">
        <f t="shared" si="15"/>
        <v>28454.894984855084</v>
      </c>
      <c r="K34" s="3">
        <f t="shared" si="15"/>
        <v>25035.394622541149</v>
      </c>
      <c r="L34" s="3">
        <f t="shared" si="15"/>
        <v>21427.846305120562</v>
      </c>
      <c r="M34" s="3">
        <f t="shared" si="15"/>
        <v>17624.899335055496</v>
      </c>
      <c r="N34" s="3">
        <f t="shared" si="15"/>
        <v>13618.948308704072</v>
      </c>
      <c r="O34" s="3">
        <f t="shared" si="15"/>
        <v>9402.1247914340929</v>
      </c>
      <c r="P34" s="3">
        <f t="shared" si="15"/>
        <v>4966.2887293153908</v>
      </c>
    </row>
    <row r="36" spans="1:16" x14ac:dyDescent="0.2">
      <c r="A36" s="63" t="s">
        <v>297</v>
      </c>
      <c r="B36" s="9">
        <v>0</v>
      </c>
      <c r="C36" s="9">
        <f>+B36</f>
        <v>0</v>
      </c>
      <c r="D36" s="9">
        <f t="shared" ref="D36:P36" si="16">+C36</f>
        <v>0</v>
      </c>
      <c r="E36" s="9">
        <f t="shared" si="16"/>
        <v>0</v>
      </c>
      <c r="F36" s="9">
        <f t="shared" si="16"/>
        <v>0</v>
      </c>
      <c r="G36" s="9">
        <f t="shared" si="16"/>
        <v>0</v>
      </c>
      <c r="H36" s="9">
        <f t="shared" si="16"/>
        <v>0</v>
      </c>
      <c r="I36" s="9">
        <f t="shared" si="16"/>
        <v>0</v>
      </c>
      <c r="J36" s="9">
        <f t="shared" si="16"/>
        <v>0</v>
      </c>
      <c r="K36" s="9">
        <f t="shared" si="16"/>
        <v>0</v>
      </c>
      <c r="L36" s="9">
        <f t="shared" si="16"/>
        <v>0</v>
      </c>
      <c r="M36" s="9">
        <f t="shared" si="16"/>
        <v>0</v>
      </c>
      <c r="N36" s="9">
        <f t="shared" si="16"/>
        <v>0</v>
      </c>
      <c r="O36" s="9">
        <f t="shared" si="16"/>
        <v>0</v>
      </c>
      <c r="P36" s="9">
        <f t="shared" si="16"/>
        <v>0</v>
      </c>
    </row>
    <row r="38" spans="1:16" x14ac:dyDescent="0.2">
      <c r="A38" s="63" t="s">
        <v>298</v>
      </c>
      <c r="B38" s="53">
        <f>ROUND(+B34*B36,0)</f>
        <v>0</v>
      </c>
      <c r="C38" s="53">
        <f t="shared" ref="C38:P38" si="17">ROUND(+C34*C36,0)</f>
        <v>0</v>
      </c>
      <c r="D38" s="53">
        <f t="shared" si="17"/>
        <v>0</v>
      </c>
      <c r="E38" s="53">
        <f t="shared" si="17"/>
        <v>0</v>
      </c>
      <c r="F38" s="53">
        <f t="shared" si="17"/>
        <v>0</v>
      </c>
      <c r="G38" s="53">
        <f t="shared" si="17"/>
        <v>0</v>
      </c>
      <c r="H38" s="53">
        <f t="shared" si="17"/>
        <v>0</v>
      </c>
      <c r="I38" s="53">
        <f t="shared" si="17"/>
        <v>0</v>
      </c>
      <c r="J38" s="53">
        <f t="shared" si="17"/>
        <v>0</v>
      </c>
      <c r="K38" s="53">
        <f t="shared" si="17"/>
        <v>0</v>
      </c>
      <c r="L38" s="53">
        <f t="shared" si="17"/>
        <v>0</v>
      </c>
      <c r="M38" s="53">
        <f t="shared" si="17"/>
        <v>0</v>
      </c>
      <c r="N38" s="53">
        <f t="shared" si="17"/>
        <v>0</v>
      </c>
      <c r="O38" s="53">
        <f t="shared" si="17"/>
        <v>0</v>
      </c>
      <c r="P38" s="53">
        <f t="shared" si="17"/>
        <v>0</v>
      </c>
    </row>
    <row r="39" spans="1:16" x14ac:dyDescent="0.2">
      <c r="A39" s="63"/>
    </row>
    <row r="40" spans="1:16" x14ac:dyDescent="0.2">
      <c r="A40" s="63"/>
    </row>
    <row r="42" spans="1:16" x14ac:dyDescent="0.2">
      <c r="A42" s="63" t="s">
        <v>299</v>
      </c>
      <c r="B42" s="8">
        <f>+B34-B38</f>
        <v>49845.369999999995</v>
      </c>
      <c r="C42" s="8">
        <f t="shared" ref="C42:P42" si="18">+C34-C38</f>
        <v>47693.641100000008</v>
      </c>
      <c r="D42" s="8">
        <f t="shared" si="18"/>
        <v>45404.418533000047</v>
      </c>
      <c r="E42" s="8">
        <f t="shared" si="18"/>
        <v>42972.118652989971</v>
      </c>
      <c r="F42" s="8">
        <f t="shared" si="18"/>
        <v>40390.961127859657</v>
      </c>
      <c r="G42" s="8">
        <f t="shared" si="18"/>
        <v>37654.962455281115</v>
      </c>
      <c r="H42" s="8">
        <f t="shared" si="18"/>
        <v>34757.929272396839</v>
      </c>
      <c r="I42" s="8">
        <f t="shared" si="18"/>
        <v>31693.451452895242</v>
      </c>
      <c r="J42" s="8">
        <f t="shared" si="18"/>
        <v>28454.894984855084</v>
      </c>
      <c r="K42" s="8">
        <f t="shared" si="18"/>
        <v>25035.394622541149</v>
      </c>
      <c r="L42" s="8">
        <f t="shared" si="18"/>
        <v>21427.846305120562</v>
      </c>
      <c r="M42" s="8">
        <f t="shared" si="18"/>
        <v>17624.899335055496</v>
      </c>
      <c r="N42" s="8">
        <f t="shared" si="18"/>
        <v>13618.948308704072</v>
      </c>
      <c r="O42" s="8">
        <f t="shared" si="18"/>
        <v>9402.1247914340929</v>
      </c>
      <c r="P42" s="8">
        <f t="shared" si="18"/>
        <v>4966.2887293153908</v>
      </c>
    </row>
    <row r="44" spans="1:16" x14ac:dyDescent="0.2">
      <c r="D44" s="3">
        <f>-PV(0.06,30,B19)</f>
        <v>0</v>
      </c>
    </row>
    <row r="46" spans="1:16" x14ac:dyDescent="0.2">
      <c r="A46" s="63" t="s">
        <v>292</v>
      </c>
    </row>
    <row r="47" spans="1:16" x14ac:dyDescent="0.2">
      <c r="A47" s="63" t="s">
        <v>138</v>
      </c>
      <c r="B47" s="14">
        <v>0.02</v>
      </c>
    </row>
    <row r="48" spans="1:16" x14ac:dyDescent="0.2">
      <c r="A48" s="63" t="s">
        <v>293</v>
      </c>
      <c r="B48" s="14">
        <v>0.03</v>
      </c>
    </row>
    <row r="51" spans="1:2" x14ac:dyDescent="0.2">
      <c r="A51" s="63" t="s">
        <v>304</v>
      </c>
      <c r="B51" s="8">
        <f>SUM(B24:K24)</f>
        <v>383903.14220181911</v>
      </c>
    </row>
  </sheetData>
  <pageMargins left="0.7" right="0.7" top="0.75" bottom="0.75" header="0.3" footer="0.3"/>
  <pageSetup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95"/>
  <sheetViews>
    <sheetView topLeftCell="A58" workbookViewId="0">
      <selection activeCell="B36" sqref="B36"/>
    </sheetView>
  </sheetViews>
  <sheetFormatPr defaultRowHeight="12.75" x14ac:dyDescent="0.2"/>
  <cols>
    <col min="1" max="1" width="6.5703125" customWidth="1"/>
    <col min="2" max="2" width="74.42578125" customWidth="1"/>
    <col min="3" max="3" width="14.140625" bestFit="1" customWidth="1"/>
  </cols>
  <sheetData>
    <row r="1" spans="1:6" x14ac:dyDescent="0.2">
      <c r="A1" s="1" t="str">
        <f>+SUMMARY!B1</f>
        <v>MVHO - TINY HOME COMMUNITY</v>
      </c>
    </row>
    <row r="2" spans="1:6" x14ac:dyDescent="0.2">
      <c r="A2" s="1" t="s">
        <v>310</v>
      </c>
    </row>
    <row r="3" spans="1:6" x14ac:dyDescent="0.2">
      <c r="A3" s="111" t="str">
        <f>+SUMMARY!B3</f>
        <v>SEPTEMBER 12, 2023</v>
      </c>
    </row>
    <row r="7" spans="1:6" x14ac:dyDescent="0.2">
      <c r="F7" s="63" t="s">
        <v>322</v>
      </c>
    </row>
    <row r="8" spans="1:6" x14ac:dyDescent="0.2">
      <c r="C8" s="63" t="s">
        <v>184</v>
      </c>
      <c r="D8" s="63" t="s">
        <v>313</v>
      </c>
      <c r="F8" s="63" t="s">
        <v>184</v>
      </c>
    </row>
    <row r="9" spans="1:6" x14ac:dyDescent="0.2">
      <c r="C9" s="63" t="s">
        <v>312</v>
      </c>
      <c r="D9" s="63" t="s">
        <v>312</v>
      </c>
      <c r="F9" s="63" t="s">
        <v>312</v>
      </c>
    </row>
    <row r="10" spans="1:6" x14ac:dyDescent="0.2">
      <c r="A10" s="1" t="s">
        <v>311</v>
      </c>
      <c r="C10">
        <v>28</v>
      </c>
    </row>
    <row r="11" spans="1:6" x14ac:dyDescent="0.2">
      <c r="A11" s="1"/>
    </row>
    <row r="12" spans="1:6" x14ac:dyDescent="0.2">
      <c r="A12" s="63" t="s">
        <v>320</v>
      </c>
    </row>
    <row r="13" spans="1:6" x14ac:dyDescent="0.2">
      <c r="B13" s="63" t="s">
        <v>314</v>
      </c>
      <c r="C13">
        <v>2</v>
      </c>
      <c r="D13">
        <f>+C13</f>
        <v>2</v>
      </c>
      <c r="F13">
        <f>+C13</f>
        <v>2</v>
      </c>
    </row>
    <row r="14" spans="1:6" x14ac:dyDescent="0.2">
      <c r="B14" s="63" t="s">
        <v>605</v>
      </c>
      <c r="C14">
        <v>1</v>
      </c>
      <c r="F14">
        <f t="shared" ref="F14:F19" si="0">+C14</f>
        <v>1</v>
      </c>
    </row>
    <row r="15" spans="1:6" x14ac:dyDescent="0.2">
      <c r="B15" s="63" t="s">
        <v>315</v>
      </c>
      <c r="C15">
        <v>1</v>
      </c>
      <c r="F15">
        <f t="shared" si="0"/>
        <v>1</v>
      </c>
    </row>
    <row r="16" spans="1:6" x14ac:dyDescent="0.2">
      <c r="B16" s="63" t="s">
        <v>316</v>
      </c>
      <c r="C16">
        <v>1</v>
      </c>
      <c r="D16">
        <f>+C16</f>
        <v>1</v>
      </c>
      <c r="F16">
        <f t="shared" si="0"/>
        <v>1</v>
      </c>
    </row>
    <row r="17" spans="1:6" x14ac:dyDescent="0.2">
      <c r="B17" s="63" t="s">
        <v>317</v>
      </c>
      <c r="C17">
        <v>1</v>
      </c>
      <c r="D17">
        <v>0</v>
      </c>
    </row>
    <row r="18" spans="1:6" x14ac:dyDescent="0.2">
      <c r="B18" s="63" t="s">
        <v>318</v>
      </c>
      <c r="C18">
        <v>2</v>
      </c>
      <c r="D18">
        <f>+C18</f>
        <v>2</v>
      </c>
      <c r="F18">
        <f t="shared" si="0"/>
        <v>2</v>
      </c>
    </row>
    <row r="19" spans="1:6" x14ac:dyDescent="0.2">
      <c r="B19" s="63" t="s">
        <v>319</v>
      </c>
      <c r="C19">
        <v>1</v>
      </c>
      <c r="D19">
        <v>0</v>
      </c>
      <c r="F19">
        <f t="shared" si="0"/>
        <v>1</v>
      </c>
    </row>
    <row r="21" spans="1:6" x14ac:dyDescent="0.2">
      <c r="A21" s="63" t="s">
        <v>321</v>
      </c>
      <c r="C21">
        <v>5</v>
      </c>
    </row>
    <row r="23" spans="1:6" x14ac:dyDescent="0.2">
      <c r="A23" s="63" t="s">
        <v>323</v>
      </c>
      <c r="B23" s="63"/>
    </row>
    <row r="24" spans="1:6" x14ac:dyDescent="0.2">
      <c r="B24" s="63" t="s">
        <v>324</v>
      </c>
      <c r="C24">
        <v>1</v>
      </c>
      <c r="D24">
        <f>+C24</f>
        <v>1</v>
      </c>
      <c r="F24">
        <f t="shared" ref="F24:F26" si="1">+C24</f>
        <v>1</v>
      </c>
    </row>
    <row r="25" spans="1:6" x14ac:dyDescent="0.2">
      <c r="B25" s="63" t="s">
        <v>325</v>
      </c>
      <c r="C25">
        <v>1</v>
      </c>
      <c r="D25">
        <f>+C25</f>
        <v>1</v>
      </c>
      <c r="F25">
        <f t="shared" si="1"/>
        <v>1</v>
      </c>
    </row>
    <row r="26" spans="1:6" x14ac:dyDescent="0.2">
      <c r="B26" s="63" t="s">
        <v>326</v>
      </c>
      <c r="C26">
        <v>1</v>
      </c>
      <c r="D26">
        <f>+C26</f>
        <v>1</v>
      </c>
      <c r="F26">
        <f t="shared" si="1"/>
        <v>1</v>
      </c>
    </row>
    <row r="28" spans="1:6" x14ac:dyDescent="0.2">
      <c r="A28" s="63" t="s">
        <v>327</v>
      </c>
      <c r="C28">
        <v>5</v>
      </c>
      <c r="D28">
        <f>+C28</f>
        <v>5</v>
      </c>
      <c r="F28">
        <f t="shared" ref="F28" si="2">+C28</f>
        <v>5</v>
      </c>
    </row>
    <row r="30" spans="1:6" x14ac:dyDescent="0.2">
      <c r="A30" s="63" t="s">
        <v>328</v>
      </c>
      <c r="C30">
        <v>10</v>
      </c>
      <c r="D30">
        <f>+C30</f>
        <v>10</v>
      </c>
      <c r="F30">
        <f t="shared" ref="F30" si="3">+C30</f>
        <v>10</v>
      </c>
    </row>
    <row r="31" spans="1:6" x14ac:dyDescent="0.2">
      <c r="B31" s="63" t="s">
        <v>329</v>
      </c>
    </row>
    <row r="32" spans="1:6" x14ac:dyDescent="0.2">
      <c r="B32" s="63" t="s">
        <v>330</v>
      </c>
    </row>
    <row r="33" spans="1:6" x14ac:dyDescent="0.2">
      <c r="B33" s="63" t="s">
        <v>331</v>
      </c>
    </row>
    <row r="34" spans="1:6" x14ac:dyDescent="0.2">
      <c r="B34" s="63" t="s">
        <v>332</v>
      </c>
    </row>
    <row r="35" spans="1:6" x14ac:dyDescent="0.2">
      <c r="B35" s="112" t="s">
        <v>333</v>
      </c>
    </row>
    <row r="36" spans="1:6" x14ac:dyDescent="0.2">
      <c r="B36" s="63" t="s">
        <v>334</v>
      </c>
    </row>
    <row r="38" spans="1:6" x14ac:dyDescent="0.2">
      <c r="B38" s="63" t="s">
        <v>335</v>
      </c>
      <c r="C38">
        <v>5</v>
      </c>
    </row>
    <row r="40" spans="1:6" x14ac:dyDescent="0.2">
      <c r="A40" s="63" t="s">
        <v>336</v>
      </c>
      <c r="C40">
        <f>SUM(C12:C38)</f>
        <v>37</v>
      </c>
      <c r="D40">
        <f>MIN(SUM(D12:D38),C10)</f>
        <v>23</v>
      </c>
      <c r="F40">
        <f>5+SUM(F22:F30)</f>
        <v>23</v>
      </c>
    </row>
    <row r="42" spans="1:6" x14ac:dyDescent="0.2">
      <c r="A42" s="1" t="s">
        <v>337</v>
      </c>
      <c r="C42">
        <v>12</v>
      </c>
    </row>
    <row r="44" spans="1:6" x14ac:dyDescent="0.2">
      <c r="A44" s="63" t="s">
        <v>338</v>
      </c>
      <c r="C44">
        <v>3</v>
      </c>
      <c r="F44">
        <f>+C44</f>
        <v>3</v>
      </c>
    </row>
    <row r="45" spans="1:6" x14ac:dyDescent="0.2">
      <c r="A45" s="63"/>
    </row>
    <row r="46" spans="1:6" x14ac:dyDescent="0.2">
      <c r="A46" s="63" t="s">
        <v>339</v>
      </c>
      <c r="C46">
        <v>4</v>
      </c>
      <c r="D46">
        <f>+C46</f>
        <v>4</v>
      </c>
      <c r="F46">
        <f>+C46</f>
        <v>4</v>
      </c>
    </row>
    <row r="47" spans="1:6" x14ac:dyDescent="0.2">
      <c r="B47" s="63" t="s">
        <v>340</v>
      </c>
    </row>
    <row r="48" spans="1:6" x14ac:dyDescent="0.2">
      <c r="B48" s="63" t="s">
        <v>341</v>
      </c>
    </row>
    <row r="50" spans="1:6" x14ac:dyDescent="0.2">
      <c r="A50" s="63" t="s">
        <v>342</v>
      </c>
      <c r="C50">
        <v>5</v>
      </c>
      <c r="D50">
        <f>+C50</f>
        <v>5</v>
      </c>
      <c r="F50">
        <f>+C50</f>
        <v>5</v>
      </c>
    </row>
    <row r="51" spans="1:6" x14ac:dyDescent="0.2">
      <c r="B51" s="63" t="s">
        <v>343</v>
      </c>
    </row>
    <row r="52" spans="1:6" x14ac:dyDescent="0.2">
      <c r="B52" s="63" t="s">
        <v>344</v>
      </c>
    </row>
    <row r="53" spans="1:6" x14ac:dyDescent="0.2">
      <c r="C53">
        <f>SUM(C44:C51)</f>
        <v>12</v>
      </c>
      <c r="D53">
        <f>SUM(D44:D51)</f>
        <v>9</v>
      </c>
      <c r="F53">
        <f>SUM(F44:F51)</f>
        <v>12</v>
      </c>
    </row>
    <row r="55" spans="1:6" x14ac:dyDescent="0.2">
      <c r="A55" s="1" t="s">
        <v>345</v>
      </c>
      <c r="C55">
        <v>5</v>
      </c>
      <c r="D55">
        <v>0</v>
      </c>
      <c r="F55">
        <f>+C55</f>
        <v>5</v>
      </c>
    </row>
    <row r="56" spans="1:6" x14ac:dyDescent="0.2">
      <c r="B56" s="63" t="s">
        <v>346</v>
      </c>
    </row>
    <row r="57" spans="1:6" x14ac:dyDescent="0.2">
      <c r="B57" s="63" t="s">
        <v>347</v>
      </c>
    </row>
    <row r="58" spans="1:6" x14ac:dyDescent="0.2">
      <c r="B58" s="63" t="s">
        <v>348</v>
      </c>
    </row>
    <row r="59" spans="1:6" x14ac:dyDescent="0.2">
      <c r="B59" s="63" t="s">
        <v>349</v>
      </c>
    </row>
    <row r="61" spans="1:6" x14ac:dyDescent="0.2">
      <c r="A61" s="1" t="s">
        <v>350</v>
      </c>
      <c r="C61">
        <v>5</v>
      </c>
    </row>
    <row r="62" spans="1:6" x14ac:dyDescent="0.2">
      <c r="B62" s="63" t="s">
        <v>351</v>
      </c>
      <c r="C62">
        <v>2</v>
      </c>
      <c r="D62">
        <f>+C62</f>
        <v>2</v>
      </c>
      <c r="F62">
        <f>+C62</f>
        <v>2</v>
      </c>
    </row>
    <row r="64" spans="1:6" x14ac:dyDescent="0.2">
      <c r="B64" s="63" t="s">
        <v>352</v>
      </c>
      <c r="C64">
        <v>1</v>
      </c>
      <c r="D64">
        <f>+C64</f>
        <v>1</v>
      </c>
      <c r="F64">
        <f t="shared" ref="F64:F66" si="4">+C64</f>
        <v>1</v>
      </c>
    </row>
    <row r="65" spans="1:7" x14ac:dyDescent="0.2">
      <c r="B65" s="63" t="s">
        <v>353</v>
      </c>
      <c r="C65">
        <v>1</v>
      </c>
      <c r="D65">
        <f>+C65</f>
        <v>1</v>
      </c>
      <c r="F65">
        <f t="shared" si="4"/>
        <v>1</v>
      </c>
    </row>
    <row r="66" spans="1:7" x14ac:dyDescent="0.2">
      <c r="B66" s="63" t="s">
        <v>354</v>
      </c>
      <c r="C66">
        <v>1</v>
      </c>
      <c r="F66">
        <f t="shared" si="4"/>
        <v>1</v>
      </c>
    </row>
    <row r="67" spans="1:7" x14ac:dyDescent="0.2">
      <c r="B67" s="63" t="s">
        <v>355</v>
      </c>
      <c r="C67">
        <v>1</v>
      </c>
    </row>
    <row r="68" spans="1:7" x14ac:dyDescent="0.2">
      <c r="B68" s="63" t="s">
        <v>356</v>
      </c>
      <c r="C68">
        <v>1</v>
      </c>
    </row>
    <row r="69" spans="1:7" x14ac:dyDescent="0.2">
      <c r="B69" s="63" t="s">
        <v>357</v>
      </c>
      <c r="C69">
        <v>1</v>
      </c>
      <c r="F69">
        <f>+C69</f>
        <v>1</v>
      </c>
    </row>
    <row r="70" spans="1:7" x14ac:dyDescent="0.2">
      <c r="D70">
        <f>MIN(SUM(D62:D69),C61)</f>
        <v>4</v>
      </c>
      <c r="F70">
        <f>MIN(SUM(F62:F69),C61)</f>
        <v>5</v>
      </c>
    </row>
    <row r="71" spans="1:7" x14ac:dyDescent="0.2">
      <c r="A71" s="1" t="s">
        <v>358</v>
      </c>
      <c r="C71">
        <v>5</v>
      </c>
    </row>
    <row r="72" spans="1:7" x14ac:dyDescent="0.2">
      <c r="B72" s="63" t="s">
        <v>359</v>
      </c>
      <c r="C72">
        <v>1</v>
      </c>
      <c r="D72">
        <f>+C72</f>
        <v>1</v>
      </c>
      <c r="F72">
        <f>+C72</f>
        <v>1</v>
      </c>
    </row>
    <row r="73" spans="1:7" x14ac:dyDescent="0.2">
      <c r="B73" s="63" t="s">
        <v>364</v>
      </c>
      <c r="C73">
        <v>1</v>
      </c>
      <c r="D73">
        <f>+C73</f>
        <v>1</v>
      </c>
      <c r="F73">
        <f>+C73</f>
        <v>1</v>
      </c>
    </row>
    <row r="74" spans="1:7" x14ac:dyDescent="0.2">
      <c r="B74" s="63" t="s">
        <v>360</v>
      </c>
      <c r="C74">
        <v>1</v>
      </c>
      <c r="F74">
        <f t="shared" ref="F74:F77" si="5">+C74</f>
        <v>1</v>
      </c>
    </row>
    <row r="75" spans="1:7" x14ac:dyDescent="0.2">
      <c r="A75" s="127"/>
      <c r="B75" s="129" t="s">
        <v>361</v>
      </c>
      <c r="C75" s="127">
        <v>1</v>
      </c>
      <c r="D75" s="127"/>
      <c r="E75" s="127"/>
      <c r="F75" s="127">
        <f t="shared" si="5"/>
        <v>1</v>
      </c>
      <c r="G75" s="127"/>
    </row>
    <row r="76" spans="1:7" x14ac:dyDescent="0.2">
      <c r="B76" s="63" t="s">
        <v>362</v>
      </c>
      <c r="C76">
        <v>2</v>
      </c>
    </row>
    <row r="77" spans="1:7" x14ac:dyDescent="0.2">
      <c r="B77" s="63" t="s">
        <v>363</v>
      </c>
      <c r="C77">
        <v>1</v>
      </c>
      <c r="D77">
        <f>+C77</f>
        <v>1</v>
      </c>
      <c r="F77">
        <f t="shared" si="5"/>
        <v>1</v>
      </c>
    </row>
    <row r="78" spans="1:7" x14ac:dyDescent="0.2">
      <c r="D78">
        <f>MIN(SUM(D72:D77),C71)</f>
        <v>3</v>
      </c>
      <c r="F78">
        <f>MIN(C71,SUM(F72:F77))</f>
        <v>5</v>
      </c>
    </row>
    <row r="80" spans="1:7" x14ac:dyDescent="0.2">
      <c r="A80" s="126" t="s">
        <v>365</v>
      </c>
      <c r="B80" s="127"/>
      <c r="C80" s="127">
        <v>10</v>
      </c>
      <c r="D80" s="127">
        <v>8</v>
      </c>
      <c r="E80" s="127"/>
      <c r="F80" s="127">
        <f>+C80</f>
        <v>10</v>
      </c>
    </row>
    <row r="81" spans="1:8" x14ac:dyDescent="0.2">
      <c r="A81" s="127"/>
      <c r="B81" s="128" t="s">
        <v>366</v>
      </c>
      <c r="C81" s="127"/>
      <c r="D81" s="127"/>
      <c r="E81" s="127"/>
      <c r="F81" s="127"/>
    </row>
    <row r="82" spans="1:8" x14ac:dyDescent="0.2">
      <c r="A82" s="127"/>
      <c r="B82" s="128" t="s">
        <v>367</v>
      </c>
      <c r="C82" s="127"/>
      <c r="D82" s="127"/>
      <c r="E82" s="127"/>
      <c r="F82" s="127"/>
    </row>
    <row r="83" spans="1:8" x14ac:dyDescent="0.2">
      <c r="A83" s="127"/>
      <c r="B83" s="128" t="s">
        <v>368</v>
      </c>
      <c r="C83" s="127"/>
      <c r="D83" s="127"/>
      <c r="E83" s="127"/>
      <c r="F83" s="127"/>
    </row>
    <row r="84" spans="1:8" x14ac:dyDescent="0.2">
      <c r="A84" s="127"/>
      <c r="B84" s="128" t="s">
        <v>369</v>
      </c>
      <c r="C84" s="127"/>
      <c r="D84" s="127"/>
      <c r="E84" s="127"/>
      <c r="F84" s="127"/>
    </row>
    <row r="85" spans="1:8" x14ac:dyDescent="0.2">
      <c r="A85" s="127"/>
      <c r="B85" s="128" t="s">
        <v>370</v>
      </c>
      <c r="C85" s="127"/>
      <c r="D85" s="127"/>
      <c r="E85" s="127"/>
      <c r="F85" s="127"/>
    </row>
    <row r="87" spans="1:8" x14ac:dyDescent="0.2">
      <c r="A87" s="1" t="s">
        <v>371</v>
      </c>
      <c r="C87">
        <v>20</v>
      </c>
      <c r="D87">
        <v>18</v>
      </c>
      <c r="F87">
        <f>+C87</f>
        <v>20</v>
      </c>
      <c r="H87" s="118">
        <f>+'SUMMARY PROFORMA'!C93</f>
        <v>0.3</v>
      </c>
    </row>
    <row r="88" spans="1:8" x14ac:dyDescent="0.2">
      <c r="B88" s="63" t="s">
        <v>372</v>
      </c>
    </row>
    <row r="89" spans="1:8" x14ac:dyDescent="0.2">
      <c r="B89" s="112" t="s">
        <v>373</v>
      </c>
    </row>
    <row r="90" spans="1:8" x14ac:dyDescent="0.2">
      <c r="B90" s="63" t="s">
        <v>374</v>
      </c>
    </row>
    <row r="91" spans="1:8" x14ac:dyDescent="0.2">
      <c r="B91" s="63" t="s">
        <v>375</v>
      </c>
    </row>
    <row r="92" spans="1:8" x14ac:dyDescent="0.2">
      <c r="B92" s="112" t="s">
        <v>376</v>
      </c>
    </row>
    <row r="93" spans="1:8" x14ac:dyDescent="0.2">
      <c r="B93" s="112" t="s">
        <v>377</v>
      </c>
    </row>
    <row r="94" spans="1:8" x14ac:dyDescent="0.2">
      <c r="B94" s="112" t="s">
        <v>378</v>
      </c>
    </row>
    <row r="96" spans="1:8" x14ac:dyDescent="0.2">
      <c r="A96" s="1" t="s">
        <v>379</v>
      </c>
      <c r="C96">
        <v>5</v>
      </c>
      <c r="F96">
        <f>+C96</f>
        <v>5</v>
      </c>
    </row>
    <row r="97" spans="1:6" x14ac:dyDescent="0.2">
      <c r="B97" s="112" t="s">
        <v>380</v>
      </c>
    </row>
    <row r="98" spans="1:6" x14ac:dyDescent="0.2">
      <c r="B98" s="112" t="s">
        <v>381</v>
      </c>
    </row>
    <row r="99" spans="1:6" x14ac:dyDescent="0.2">
      <c r="B99" s="112" t="s">
        <v>382</v>
      </c>
    </row>
    <row r="101" spans="1:6" x14ac:dyDescent="0.2">
      <c r="A101" s="1" t="s">
        <v>383</v>
      </c>
      <c r="C101">
        <v>10</v>
      </c>
    </row>
    <row r="102" spans="1:6" x14ac:dyDescent="0.2">
      <c r="B102" s="63" t="s">
        <v>384</v>
      </c>
      <c r="C102">
        <v>1</v>
      </c>
      <c r="D102">
        <v>0</v>
      </c>
      <c r="F102">
        <f>+C102</f>
        <v>1</v>
      </c>
    </row>
    <row r="103" spans="1:6" x14ac:dyDescent="0.2">
      <c r="B103" s="63" t="s">
        <v>385</v>
      </c>
      <c r="C103">
        <v>1</v>
      </c>
      <c r="F103">
        <f t="shared" ref="F103:F109" si="6">+C103</f>
        <v>1</v>
      </c>
    </row>
    <row r="104" spans="1:6" x14ac:dyDescent="0.2">
      <c r="B104" s="63" t="s">
        <v>390</v>
      </c>
      <c r="C104">
        <v>5</v>
      </c>
      <c r="F104">
        <f t="shared" si="6"/>
        <v>5</v>
      </c>
    </row>
    <row r="105" spans="1:6" x14ac:dyDescent="0.2">
      <c r="B105" s="63" t="s">
        <v>386</v>
      </c>
      <c r="C105">
        <v>5</v>
      </c>
      <c r="D105">
        <f>+C105</f>
        <v>5</v>
      </c>
      <c r="F105">
        <f t="shared" si="6"/>
        <v>5</v>
      </c>
    </row>
    <row r="106" spans="1:6" x14ac:dyDescent="0.2">
      <c r="B106" s="63" t="s">
        <v>387</v>
      </c>
      <c r="F106">
        <f t="shared" si="6"/>
        <v>0</v>
      </c>
    </row>
    <row r="107" spans="1:6" x14ac:dyDescent="0.2">
      <c r="B107" s="63" t="s">
        <v>388</v>
      </c>
      <c r="C107">
        <v>5</v>
      </c>
      <c r="F107">
        <f t="shared" si="6"/>
        <v>5</v>
      </c>
    </row>
    <row r="108" spans="1:6" x14ac:dyDescent="0.2">
      <c r="B108" s="63" t="s">
        <v>389</v>
      </c>
      <c r="C108">
        <v>5</v>
      </c>
      <c r="F108">
        <f t="shared" si="6"/>
        <v>5</v>
      </c>
    </row>
    <row r="109" spans="1:6" x14ac:dyDescent="0.2">
      <c r="B109" s="63" t="s">
        <v>391</v>
      </c>
      <c r="C109">
        <v>5</v>
      </c>
      <c r="F109">
        <f t="shared" si="6"/>
        <v>5</v>
      </c>
    </row>
    <row r="110" spans="1:6" x14ac:dyDescent="0.2">
      <c r="D110">
        <f>MIN(SUM(D102:D109),C101)</f>
        <v>5</v>
      </c>
      <c r="F110">
        <f>MIN(SUM(F102:F109),C101)</f>
        <v>10</v>
      </c>
    </row>
    <row r="112" spans="1:6" x14ac:dyDescent="0.2">
      <c r="C112">
        <f>+C101+C96+C87+C80+C71+C61+C55+C42+C10</f>
        <v>100</v>
      </c>
      <c r="D112">
        <f>+D110+D96+D87+D80+D78+D70+D55+D53+D40</f>
        <v>70</v>
      </c>
      <c r="F112">
        <f>+F110+F96+F87+F80+F78+F70+F55+F53+F40</f>
        <v>95</v>
      </c>
    </row>
    <row r="115" spans="1:3" x14ac:dyDescent="0.2">
      <c r="A115" s="63" t="s">
        <v>536</v>
      </c>
    </row>
    <row r="116" spans="1:3" x14ac:dyDescent="0.2">
      <c r="B116" s="63" t="s">
        <v>537</v>
      </c>
      <c r="C116" s="3">
        <f ca="1">+SUMMARY!F69</f>
        <v>243656.43559096943</v>
      </c>
    </row>
    <row r="117" spans="1:3" x14ac:dyDescent="0.2">
      <c r="B117" s="63" t="s">
        <v>538</v>
      </c>
      <c r="C117" s="3">
        <f ca="1">+C116/'SUMMARY PROFORMA'!D22</f>
        <v>6091.4108897742353</v>
      </c>
    </row>
    <row r="118" spans="1:3" x14ac:dyDescent="0.2">
      <c r="B118" s="63" t="s">
        <v>539</v>
      </c>
      <c r="C118" s="3">
        <v>200000</v>
      </c>
    </row>
    <row r="120" spans="1:3" x14ac:dyDescent="0.2">
      <c r="B120" s="63" t="s">
        <v>206</v>
      </c>
      <c r="C120" s="3">
        <f>+SUMMARY!F47</f>
        <v>250000</v>
      </c>
    </row>
    <row r="122" spans="1:3" x14ac:dyDescent="0.2">
      <c r="B122" s="63" t="s">
        <v>537</v>
      </c>
      <c r="C122" s="8">
        <f ca="1">+C116</f>
        <v>243656.43559096943</v>
      </c>
    </row>
    <row r="123" spans="1:3" x14ac:dyDescent="0.2">
      <c r="B123" s="63" t="s">
        <v>540</v>
      </c>
      <c r="C123" s="3">
        <f>+C120</f>
        <v>250000</v>
      </c>
    </row>
    <row r="124" spans="1:3" x14ac:dyDescent="0.2">
      <c r="B124" s="63" t="s">
        <v>541</v>
      </c>
      <c r="C124" s="8">
        <f ca="1">+C122-C123</f>
        <v>-6343.5644090305723</v>
      </c>
    </row>
    <row r="125" spans="1:3" x14ac:dyDescent="0.2">
      <c r="B125" s="63" t="s">
        <v>542</v>
      </c>
      <c r="C125" s="14">
        <f ca="1">+C120/C124</f>
        <v>-39.410019963556287</v>
      </c>
    </row>
    <row r="128" spans="1:3" x14ac:dyDescent="0.2">
      <c r="B128" s="63" t="s">
        <v>91</v>
      </c>
      <c r="C128" s="53">
        <f>+SUMMARY!E106</f>
        <v>0</v>
      </c>
    </row>
    <row r="129" spans="2:3" x14ac:dyDescent="0.2">
      <c r="B129" s="63" t="s">
        <v>543</v>
      </c>
      <c r="C129" s="53">
        <v>0.8</v>
      </c>
    </row>
    <row r="131" spans="2:3" x14ac:dyDescent="0.2">
      <c r="B131" s="63" t="s">
        <v>535</v>
      </c>
      <c r="C131" s="3">
        <f>+SUMMARY!L69</f>
        <v>0</v>
      </c>
    </row>
    <row r="132" spans="2:3" x14ac:dyDescent="0.2">
      <c r="B132" s="63" t="s">
        <v>537</v>
      </c>
      <c r="C132" s="3">
        <f ca="1">+C116</f>
        <v>243656.43559096943</v>
      </c>
    </row>
    <row r="133" spans="2:3" x14ac:dyDescent="0.2">
      <c r="B133" s="63" t="s">
        <v>544</v>
      </c>
      <c r="C133" s="14">
        <f ca="1">+C131/C132</f>
        <v>0</v>
      </c>
    </row>
    <row r="134" spans="2:3" x14ac:dyDescent="0.2">
      <c r="B134" s="63" t="s">
        <v>545</v>
      </c>
      <c r="C134" s="9">
        <v>0.3</v>
      </c>
    </row>
    <row r="136" spans="2:3" x14ac:dyDescent="0.2">
      <c r="B136" s="63" t="s">
        <v>550</v>
      </c>
      <c r="C136" s="3">
        <f>+SUMMARY!I31</f>
        <v>0</v>
      </c>
    </row>
    <row r="137" spans="2:3" x14ac:dyDescent="0.2">
      <c r="C137" s="3"/>
    </row>
    <row r="138" spans="2:3" x14ac:dyDescent="0.2">
      <c r="B138" s="63" t="s">
        <v>546</v>
      </c>
      <c r="C138" s="3">
        <f ca="1">+SUMMARY!F34+SUMMARY!F22</f>
        <v>4444206.5</v>
      </c>
    </row>
    <row r="139" spans="2:3" x14ac:dyDescent="0.2">
      <c r="B139" s="63" t="s">
        <v>547</v>
      </c>
      <c r="C139" s="3">
        <f>-C136</f>
        <v>0</v>
      </c>
    </row>
    <row r="140" spans="2:3" x14ac:dyDescent="0.2">
      <c r="B140" s="63" t="s">
        <v>548</v>
      </c>
      <c r="C140" s="3">
        <f ca="1">+C138+C139</f>
        <v>4444206.5</v>
      </c>
    </row>
    <row r="142" spans="2:3" x14ac:dyDescent="0.2">
      <c r="B142" s="63" t="s">
        <v>549</v>
      </c>
      <c r="C142" s="14">
        <f ca="1">+C136/C140</f>
        <v>0</v>
      </c>
    </row>
    <row r="144" spans="2:3" x14ac:dyDescent="0.2">
      <c r="B144" s="63" t="s">
        <v>551</v>
      </c>
      <c r="C144" s="3">
        <f>+SUMMARY!F64</f>
        <v>25000</v>
      </c>
    </row>
    <row r="145" spans="2:3" x14ac:dyDescent="0.2">
      <c r="C145" s="3"/>
    </row>
    <row r="146" spans="2:3" x14ac:dyDescent="0.2">
      <c r="B146" s="63" t="s">
        <v>552</v>
      </c>
      <c r="C146" s="3">
        <f>+C131</f>
        <v>0</v>
      </c>
    </row>
    <row r="147" spans="2:3" ht="15" x14ac:dyDescent="0.35">
      <c r="B147" s="63" t="s">
        <v>547</v>
      </c>
      <c r="C147" s="4">
        <f>-C144</f>
        <v>-25000</v>
      </c>
    </row>
    <row r="148" spans="2:3" x14ac:dyDescent="0.2">
      <c r="B148" s="63" t="s">
        <v>553</v>
      </c>
      <c r="C148" s="3">
        <f>+C146+C147</f>
        <v>-25000</v>
      </c>
    </row>
    <row r="150" spans="2:3" x14ac:dyDescent="0.2">
      <c r="B150" s="63" t="s">
        <v>549</v>
      </c>
      <c r="C150" s="14">
        <f>+C144/C148</f>
        <v>-1</v>
      </c>
    </row>
    <row r="152" spans="2:3" x14ac:dyDescent="0.2">
      <c r="B152" s="63" t="s">
        <v>555</v>
      </c>
      <c r="C152" s="3">
        <f>+SUMMARY!F61</f>
        <v>25000</v>
      </c>
    </row>
    <row r="153" spans="2:3" x14ac:dyDescent="0.2">
      <c r="B153" s="63" t="s">
        <v>556</v>
      </c>
      <c r="C153" s="3">
        <f>+SUMMARY!F62</f>
        <v>200000</v>
      </c>
    </row>
    <row r="154" spans="2:3" ht="15" x14ac:dyDescent="0.35">
      <c r="B154" s="63" t="s">
        <v>557</v>
      </c>
      <c r="C154" s="4">
        <f>+SUMMARY!F50</f>
        <v>0</v>
      </c>
    </row>
    <row r="155" spans="2:3" x14ac:dyDescent="0.2">
      <c r="B155" s="63" t="s">
        <v>560</v>
      </c>
      <c r="C155" s="3">
        <f>SUM(C152:C154)</f>
        <v>225000</v>
      </c>
    </row>
    <row r="157" spans="2:3" x14ac:dyDescent="0.2">
      <c r="B157" s="63" t="s">
        <v>263</v>
      </c>
      <c r="C157" s="3">
        <f>+'SUMMARY PROFORMA'!D79</f>
        <v>299863.63</v>
      </c>
    </row>
    <row r="158" spans="2:3" x14ac:dyDescent="0.2">
      <c r="B158" s="63" t="s">
        <v>69</v>
      </c>
      <c r="C158" s="3">
        <f>+'SUMMARY PROFORMA'!D80</f>
        <v>15000</v>
      </c>
    </row>
    <row r="159" spans="2:3" ht="15" x14ac:dyDescent="0.35">
      <c r="B159" s="63" t="s">
        <v>289</v>
      </c>
      <c r="C159" s="4">
        <f>+'OPERATING PROJECTIONS'!B22</f>
        <v>0</v>
      </c>
    </row>
    <row r="160" spans="2:3" x14ac:dyDescent="0.2">
      <c r="B160" s="63" t="s">
        <v>558</v>
      </c>
      <c r="C160" s="3">
        <f>SUM(C157:C159)</f>
        <v>314863.63</v>
      </c>
    </row>
    <row r="161" spans="2:3" x14ac:dyDescent="0.2">
      <c r="B161" s="53"/>
    </row>
    <row r="162" spans="2:3" x14ac:dyDescent="0.2">
      <c r="B162" s="63" t="s">
        <v>559</v>
      </c>
      <c r="C162" s="53">
        <f>+C155/C160*12</f>
        <v>8.5751409268831722</v>
      </c>
    </row>
    <row r="164" spans="2:3" x14ac:dyDescent="0.2">
      <c r="B164" s="63" t="s">
        <v>395</v>
      </c>
      <c r="C164" s="3">
        <f ca="1">+SUMMARY!F25</f>
        <v>183424</v>
      </c>
    </row>
    <row r="165" spans="2:3" x14ac:dyDescent="0.2">
      <c r="B165" s="63" t="s">
        <v>562</v>
      </c>
      <c r="C165" s="3">
        <f ca="1">+SUMMARY!F32</f>
        <v>68784</v>
      </c>
    </row>
    <row r="166" spans="2:3" ht="15" x14ac:dyDescent="0.35">
      <c r="B166" s="63" t="s">
        <v>561</v>
      </c>
      <c r="C166" s="4">
        <f ca="1">+SUMMARY!F33</f>
        <v>229280</v>
      </c>
    </row>
    <row r="167" spans="2:3" x14ac:dyDescent="0.2">
      <c r="B167" s="63" t="s">
        <v>563</v>
      </c>
      <c r="C167" s="8">
        <f ca="1">SUM(C164:C166)</f>
        <v>481488</v>
      </c>
    </row>
    <row r="169" spans="2:3" x14ac:dyDescent="0.2">
      <c r="B169" s="63" t="s">
        <v>546</v>
      </c>
      <c r="C169" s="8">
        <f ca="1">+C138</f>
        <v>4444206.5</v>
      </c>
    </row>
    <row r="170" spans="2:3" ht="15" x14ac:dyDescent="0.35">
      <c r="B170" s="63" t="s">
        <v>564</v>
      </c>
      <c r="C170" s="52">
        <f ca="1">-C167</f>
        <v>-481488</v>
      </c>
    </row>
    <row r="171" spans="2:3" x14ac:dyDescent="0.2">
      <c r="B171" s="63" t="s">
        <v>565</v>
      </c>
      <c r="C171" s="8">
        <f ca="1">+C169+C170</f>
        <v>3962718.5</v>
      </c>
    </row>
    <row r="173" spans="2:3" x14ac:dyDescent="0.2">
      <c r="B173" s="63" t="s">
        <v>566</v>
      </c>
      <c r="C173" s="14">
        <f ca="1">+C167/C171</f>
        <v>0.12150446719846489</v>
      </c>
    </row>
    <row r="176" spans="2:3" x14ac:dyDescent="0.2">
      <c r="B176" s="63" t="s">
        <v>567</v>
      </c>
    </row>
    <row r="178" spans="2:3" x14ac:dyDescent="0.2">
      <c r="B178" s="63" t="s">
        <v>568</v>
      </c>
      <c r="C178" s="3">
        <f>MIN('OPERATING PROJECTIONS'!B24:P24)</f>
        <v>4966.2887293153908</v>
      </c>
    </row>
    <row r="179" spans="2:3" x14ac:dyDescent="0.2">
      <c r="B179" s="63"/>
      <c r="C179" s="3"/>
    </row>
    <row r="180" spans="2:3" x14ac:dyDescent="0.2">
      <c r="B180" s="63" t="s">
        <v>69</v>
      </c>
      <c r="C180" s="3">
        <f>+'SUMMARY PROFORMA'!D80</f>
        <v>15000</v>
      </c>
    </row>
    <row r="181" spans="2:3" x14ac:dyDescent="0.2">
      <c r="B181" s="63" t="s">
        <v>571</v>
      </c>
      <c r="C181" s="3">
        <f>+C180/'SUMMARY PROFORMA'!D22</f>
        <v>375</v>
      </c>
    </row>
    <row r="182" spans="2:3" x14ac:dyDescent="0.2">
      <c r="B182" s="63" t="s">
        <v>539</v>
      </c>
      <c r="C182">
        <v>400</v>
      </c>
    </row>
    <row r="183" spans="2:3" x14ac:dyDescent="0.2">
      <c r="B183" s="63"/>
    </row>
    <row r="184" spans="2:3" x14ac:dyDescent="0.2">
      <c r="B184" s="63" t="s">
        <v>569</v>
      </c>
      <c r="C184" s="8">
        <f>+C157</f>
        <v>299863.63</v>
      </c>
    </row>
    <row r="185" spans="2:3" x14ac:dyDescent="0.2">
      <c r="B185" s="63" t="s">
        <v>570</v>
      </c>
      <c r="C185" s="3">
        <f>+C184/'SUMMARY PROFORMA'!C91</f>
        <v>7496.5907500000003</v>
      </c>
    </row>
    <row r="186" spans="2:3" x14ac:dyDescent="0.2">
      <c r="B186" s="63" t="s">
        <v>539</v>
      </c>
      <c r="C186" s="3">
        <v>5000</v>
      </c>
    </row>
    <row r="188" spans="2:3" x14ac:dyDescent="0.2">
      <c r="B188" s="63" t="s">
        <v>105</v>
      </c>
      <c r="C188" s="14">
        <f>+'SUMMARY PROFORMA'!C55</f>
        <v>7.0000000000000007E-2</v>
      </c>
    </row>
    <row r="189" spans="2:3" x14ac:dyDescent="0.2">
      <c r="B189" s="63" t="s">
        <v>539</v>
      </c>
      <c r="C189" s="14">
        <v>0.1</v>
      </c>
    </row>
    <row r="191" spans="2:3" x14ac:dyDescent="0.2">
      <c r="B191" s="63" t="s">
        <v>572</v>
      </c>
    </row>
    <row r="192" spans="2:3" x14ac:dyDescent="0.2">
      <c r="B192" s="63" t="s">
        <v>573</v>
      </c>
      <c r="C192" s="32">
        <f>MAX('OPERATING PROJECTIONS'!B26:P26)</f>
        <v>0.98967991962676427</v>
      </c>
    </row>
    <row r="193" spans="2:3" x14ac:dyDescent="0.2">
      <c r="B193" s="63" t="s">
        <v>574</v>
      </c>
      <c r="C193" s="32">
        <f>MIN('OPERATING PROJECTIONS'!B26:P26)</f>
        <v>0.86332837961223885</v>
      </c>
    </row>
    <row r="194" spans="2:3" x14ac:dyDescent="0.2">
      <c r="B194" s="63" t="s">
        <v>539</v>
      </c>
      <c r="C194" s="53">
        <v>1.5</v>
      </c>
    </row>
    <row r="195" spans="2:3" x14ac:dyDescent="0.2">
      <c r="B195" s="63" t="s">
        <v>575</v>
      </c>
      <c r="C195" s="53">
        <v>1</v>
      </c>
    </row>
  </sheetData>
  <pageMargins left="0.7" right="0.7" top="0.75" bottom="0.75" header="0.3" footer="0.3"/>
  <pageSetup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8:E102"/>
  <sheetViews>
    <sheetView workbookViewId="0">
      <selection activeCell="C54" sqref="C54"/>
    </sheetView>
  </sheetViews>
  <sheetFormatPr defaultRowHeight="12.75" x14ac:dyDescent="0.2"/>
  <cols>
    <col min="1" max="1" width="59.7109375" customWidth="1"/>
    <col min="3" max="3" width="10.28515625" bestFit="1" customWidth="1"/>
  </cols>
  <sheetData>
    <row r="8" spans="1:3" ht="15.75" x14ac:dyDescent="0.25">
      <c r="A8" s="51" t="s">
        <v>142</v>
      </c>
    </row>
    <row r="10" spans="1:3" x14ac:dyDescent="0.2">
      <c r="A10" s="1" t="s">
        <v>143</v>
      </c>
    </row>
    <row r="12" spans="1:3" x14ac:dyDescent="0.2">
      <c r="A12" s="16" t="s">
        <v>35</v>
      </c>
      <c r="C12" s="3">
        <f>+SUMMARY!C121</f>
        <v>0</v>
      </c>
    </row>
    <row r="14" spans="1:3" x14ac:dyDescent="0.2">
      <c r="A14" s="16" t="s">
        <v>41</v>
      </c>
      <c r="C14" s="10">
        <v>4.4999999999999998E-2</v>
      </c>
    </row>
    <row r="16" spans="1:3" x14ac:dyDescent="0.2">
      <c r="A16" s="16" t="s">
        <v>144</v>
      </c>
      <c r="C16" s="3">
        <f>+C12*C14</f>
        <v>0</v>
      </c>
    </row>
    <row r="18" spans="1:3" x14ac:dyDescent="0.2">
      <c r="A18" s="16" t="s">
        <v>145</v>
      </c>
      <c r="C18" s="3">
        <f ca="1">+SUMMARY!F38</f>
        <v>296956.28087649372</v>
      </c>
    </row>
    <row r="20" spans="1:3" x14ac:dyDescent="0.2">
      <c r="A20" s="16" t="s">
        <v>146</v>
      </c>
      <c r="C20" s="6" t="str">
        <f ca="1">IF(C18&lt;=C16,"YES","****NO****")</f>
        <v>****NO****</v>
      </c>
    </row>
    <row r="24" spans="1:3" x14ac:dyDescent="0.2">
      <c r="A24" s="1" t="s">
        <v>147</v>
      </c>
    </row>
    <row r="25" spans="1:3" x14ac:dyDescent="0.2">
      <c r="A25" s="1"/>
    </row>
    <row r="26" spans="1:3" x14ac:dyDescent="0.2">
      <c r="A26" s="16" t="s">
        <v>148</v>
      </c>
      <c r="C26" s="3">
        <f>+SUMMARY!F31</f>
        <v>201561</v>
      </c>
    </row>
    <row r="27" spans="1:3" x14ac:dyDescent="0.2">
      <c r="C27" s="3"/>
    </row>
    <row r="28" spans="1:3" x14ac:dyDescent="0.2">
      <c r="A28" s="16" t="s">
        <v>149</v>
      </c>
      <c r="C28" s="3">
        <f>+SUMMARY!F29</f>
        <v>2676782.5</v>
      </c>
    </row>
    <row r="30" spans="1:3" x14ac:dyDescent="0.2">
      <c r="A30" s="16" t="s">
        <v>150</v>
      </c>
      <c r="C30" s="10">
        <f>+C26/C28</f>
        <v>7.5299730179796076E-2</v>
      </c>
    </row>
    <row r="31" spans="1:3" x14ac:dyDescent="0.2">
      <c r="C31" s="10"/>
    </row>
    <row r="32" spans="1:3" x14ac:dyDescent="0.2">
      <c r="A32" s="16" t="s">
        <v>151</v>
      </c>
      <c r="C32" s="10">
        <v>0.1</v>
      </c>
    </row>
    <row r="34" spans="1:4" x14ac:dyDescent="0.2">
      <c r="A34" s="16" t="s">
        <v>146</v>
      </c>
      <c r="C34" s="6" t="str">
        <f>IF(C32&gt;=C30,"YES","****NO****")</f>
        <v>YES</v>
      </c>
    </row>
    <row r="36" spans="1:4" x14ac:dyDescent="0.2">
      <c r="A36" s="16"/>
    </row>
    <row r="37" spans="1:4" x14ac:dyDescent="0.2">
      <c r="A37" s="1" t="s">
        <v>152</v>
      </c>
    </row>
    <row r="39" spans="1:4" x14ac:dyDescent="0.2">
      <c r="A39" s="16" t="s">
        <v>153</v>
      </c>
      <c r="C39" s="3" t="e">
        <f>+SUMMARY!#REF!</f>
        <v>#REF!</v>
      </c>
    </row>
    <row r="41" spans="1:4" x14ac:dyDescent="0.2">
      <c r="A41" s="16" t="s">
        <v>154</v>
      </c>
      <c r="C41" s="3">
        <f>+SUMMARY!F139</f>
        <v>0</v>
      </c>
      <c r="D41" s="3"/>
    </row>
    <row r="43" spans="1:4" x14ac:dyDescent="0.2">
      <c r="A43" s="16" t="s">
        <v>155</v>
      </c>
      <c r="C43" s="10" t="e">
        <f>+C39/C41</f>
        <v>#REF!</v>
      </c>
    </row>
    <row r="45" spans="1:4" x14ac:dyDescent="0.2">
      <c r="A45" s="16" t="s">
        <v>151</v>
      </c>
      <c r="C45" s="10">
        <v>0.2</v>
      </c>
    </row>
    <row r="47" spans="1:4" x14ac:dyDescent="0.2">
      <c r="A47" s="16" t="s">
        <v>146</v>
      </c>
      <c r="C47" s="6" t="e">
        <f>IF(C45&gt;=C43,"YES","****NO****")</f>
        <v>#REF!</v>
      </c>
    </row>
    <row r="50" spans="1:3" x14ac:dyDescent="0.2">
      <c r="A50" s="1" t="s">
        <v>156</v>
      </c>
    </row>
    <row r="52" spans="1:3" x14ac:dyDescent="0.2">
      <c r="A52" s="16" t="s">
        <v>157</v>
      </c>
      <c r="C52" s="3">
        <f>+SUMMARY!F64</f>
        <v>25000</v>
      </c>
    </row>
    <row r="54" spans="1:3" x14ac:dyDescent="0.2">
      <c r="A54" s="16" t="s">
        <v>152</v>
      </c>
      <c r="C54" s="3" t="e">
        <f>+SUMMARY!#REF!+SUMMARY!#REF!-SUMMARY!F47+SUMMARY!#REF!</f>
        <v>#REF!</v>
      </c>
    </row>
    <row r="55" spans="1:3" x14ac:dyDescent="0.2">
      <c r="A55" s="16" t="s">
        <v>158</v>
      </c>
    </row>
    <row r="57" spans="1:3" x14ac:dyDescent="0.2">
      <c r="A57" s="16" t="s">
        <v>159</v>
      </c>
      <c r="C57" s="10" t="e">
        <f>+C52/C54</f>
        <v>#REF!</v>
      </c>
    </row>
    <row r="59" spans="1:3" x14ac:dyDescent="0.2">
      <c r="A59" s="16" t="s">
        <v>151</v>
      </c>
      <c r="C59" s="10">
        <v>0.05</v>
      </c>
    </row>
    <row r="61" spans="1:3" x14ac:dyDescent="0.2">
      <c r="A61" s="16" t="s">
        <v>146</v>
      </c>
      <c r="C61" s="6" t="e">
        <f>IF(C59&gt;=C57,"YES","****NO****")</f>
        <v>#REF!</v>
      </c>
    </row>
    <row r="64" spans="1:3" x14ac:dyDescent="0.2">
      <c r="A64" s="1" t="s">
        <v>160</v>
      </c>
    </row>
    <row r="66" spans="1:5" x14ac:dyDescent="0.2">
      <c r="A66" t="str">
        <f>+SUMMARY!B61</f>
        <v>Lease Up Reserve</v>
      </c>
      <c r="C66" s="3">
        <f>+SUMMARY!F61</f>
        <v>25000</v>
      </c>
      <c r="D66" s="8">
        <f>+C66</f>
        <v>25000</v>
      </c>
      <c r="E66" s="8">
        <f>+C66</f>
        <v>25000</v>
      </c>
    </row>
    <row r="67" spans="1:5" x14ac:dyDescent="0.2">
      <c r="A67" t="str">
        <f>+SUMMARY!B62</f>
        <v>Operating Reserves</v>
      </c>
      <c r="C67" s="3">
        <f>+SUMMARY!F62</f>
        <v>200000</v>
      </c>
      <c r="D67" s="8">
        <f>+C67</f>
        <v>200000</v>
      </c>
      <c r="E67" s="8">
        <f>+C67</f>
        <v>200000</v>
      </c>
    </row>
    <row r="68" spans="1:5" x14ac:dyDescent="0.2">
      <c r="A68" t="s">
        <v>183</v>
      </c>
      <c r="C68" s="3"/>
      <c r="D68" s="8">
        <f>+SUMMARY!F50</f>
        <v>0</v>
      </c>
    </row>
    <row r="69" spans="1:5" ht="15" x14ac:dyDescent="0.35">
      <c r="C69" s="4"/>
      <c r="D69" s="52"/>
      <c r="E69" s="52"/>
    </row>
    <row r="70" spans="1:5" x14ac:dyDescent="0.2">
      <c r="A70" s="16" t="s">
        <v>161</v>
      </c>
      <c r="C70" s="8">
        <f>SUM(C66:C69)</f>
        <v>225000</v>
      </c>
      <c r="D70" s="8">
        <f>SUM(D66:D69)</f>
        <v>225000</v>
      </c>
      <c r="E70" s="8">
        <f>SUM(E66:E69)</f>
        <v>225000</v>
      </c>
    </row>
    <row r="72" spans="1:5" x14ac:dyDescent="0.2">
      <c r="A72" s="16" t="s">
        <v>162</v>
      </c>
      <c r="C72" s="3" t="e">
        <f>+'SUMMARY PROFORMA'!#REF!</f>
        <v>#REF!</v>
      </c>
      <c r="D72" s="8" t="e">
        <f>+C72</f>
        <v>#REF!</v>
      </c>
      <c r="E72" s="8" t="e">
        <f>+D72</f>
        <v>#REF!</v>
      </c>
    </row>
    <row r="73" spans="1:5" x14ac:dyDescent="0.2">
      <c r="A73" s="16" t="s">
        <v>163</v>
      </c>
      <c r="C73" s="3" t="e">
        <f>+'SUMMARY PROFORMA'!#REF!</f>
        <v>#REF!</v>
      </c>
      <c r="D73" s="8" t="e">
        <f t="shared" ref="D73:E75" si="0">+C73</f>
        <v>#REF!</v>
      </c>
      <c r="E73" s="8" t="e">
        <f t="shared" si="0"/>
        <v>#REF!</v>
      </c>
    </row>
    <row r="74" spans="1:5" ht="15" x14ac:dyDescent="0.35">
      <c r="A74" s="16" t="s">
        <v>164</v>
      </c>
      <c r="C74" s="4">
        <v>0</v>
      </c>
      <c r="D74" s="52">
        <f t="shared" si="0"/>
        <v>0</v>
      </c>
      <c r="E74" s="52">
        <f t="shared" si="0"/>
        <v>0</v>
      </c>
    </row>
    <row r="75" spans="1:5" x14ac:dyDescent="0.2">
      <c r="C75" s="3" t="e">
        <f>SUM(C72:C74)</f>
        <v>#REF!</v>
      </c>
      <c r="D75" s="8" t="e">
        <f t="shared" si="0"/>
        <v>#REF!</v>
      </c>
      <c r="E75" s="8" t="e">
        <f t="shared" si="0"/>
        <v>#REF!</v>
      </c>
    </row>
    <row r="77" spans="1:5" x14ac:dyDescent="0.2">
      <c r="A77" s="16" t="s">
        <v>165</v>
      </c>
      <c r="C77" s="53" t="e">
        <f>+(C70/C75)*12</f>
        <v>#REF!</v>
      </c>
      <c r="D77" s="53" t="e">
        <f>+(D70/D75)*12</f>
        <v>#REF!</v>
      </c>
      <c r="E77" s="53" t="e">
        <f>+(E70/E75)*12</f>
        <v>#REF!</v>
      </c>
    </row>
    <row r="79" spans="1:5" x14ac:dyDescent="0.2">
      <c r="A79" s="16" t="s">
        <v>151</v>
      </c>
      <c r="C79" s="53">
        <v>12</v>
      </c>
      <c r="D79" s="53">
        <f>+C79</f>
        <v>12</v>
      </c>
      <c r="E79" s="53">
        <f>+D79</f>
        <v>12</v>
      </c>
    </row>
    <row r="81" spans="1:5" x14ac:dyDescent="0.2">
      <c r="A81" s="16" t="s">
        <v>146</v>
      </c>
      <c r="C81" s="6" t="e">
        <f>IF(C79&gt;=C77,"YES","****NO****")</f>
        <v>#REF!</v>
      </c>
      <c r="D81" s="6" t="e">
        <f>IF(D79&gt;=D77,"YES","****NO****")</f>
        <v>#REF!</v>
      </c>
      <c r="E81" s="6" t="e">
        <f>IF(E79&gt;=E77,"YES","****NO****")</f>
        <v>#REF!</v>
      </c>
    </row>
    <row r="83" spans="1:5" x14ac:dyDescent="0.2">
      <c r="A83" s="16" t="s">
        <v>166</v>
      </c>
    </row>
    <row r="84" spans="1:5" x14ac:dyDescent="0.2">
      <c r="A84" s="16" t="s">
        <v>167</v>
      </c>
    </row>
    <row r="86" spans="1:5" x14ac:dyDescent="0.2">
      <c r="A86" s="1" t="s">
        <v>176</v>
      </c>
    </row>
    <row r="88" spans="1:5" x14ac:dyDescent="0.2">
      <c r="A88" s="1" t="s">
        <v>177</v>
      </c>
    </row>
    <row r="89" spans="1:5" x14ac:dyDescent="0.2">
      <c r="A89" s="16" t="s">
        <v>178</v>
      </c>
      <c r="C89" s="3">
        <f>+C41</f>
        <v>0</v>
      </c>
    </row>
    <row r="90" spans="1:5" x14ac:dyDescent="0.2">
      <c r="A90" s="16" t="s">
        <v>179</v>
      </c>
      <c r="C90" s="3">
        <f>+'[1]SOURCES AND USES'!D18</f>
        <v>6000</v>
      </c>
    </row>
    <row r="91" spans="1:5" x14ac:dyDescent="0.2">
      <c r="A91" s="16" t="s">
        <v>180</v>
      </c>
      <c r="C91" s="14" t="e">
        <f>+C90/C89</f>
        <v>#DIV/0!</v>
      </c>
    </row>
    <row r="92" spans="1:5" x14ac:dyDescent="0.2">
      <c r="A92" s="16" t="s">
        <v>181</v>
      </c>
      <c r="C92" s="9">
        <v>0.2</v>
      </c>
    </row>
    <row r="93" spans="1:5" x14ac:dyDescent="0.2">
      <c r="A93" s="16"/>
      <c r="C93" s="9"/>
    </row>
    <row r="94" spans="1:5" x14ac:dyDescent="0.2">
      <c r="A94" s="16" t="s">
        <v>182</v>
      </c>
      <c r="C94" s="6" t="e">
        <f>IF(C92&lt;=C91,"YES","****NO****")</f>
        <v>#DIV/0!</v>
      </c>
    </row>
    <row r="96" spans="1:5" x14ac:dyDescent="0.2">
      <c r="A96" s="16" t="s">
        <v>115</v>
      </c>
    </row>
    <row r="98" spans="1:3" x14ac:dyDescent="0.2">
      <c r="A98" t="str">
        <f>+A89</f>
        <v>TOTAL DEVELOPMENT COST (EXCLUDING RESERVES)</v>
      </c>
      <c r="C98" s="3">
        <f>+C89</f>
        <v>0</v>
      </c>
    </row>
    <row r="99" spans="1:3" x14ac:dyDescent="0.2">
      <c r="A99" s="16" t="s">
        <v>115</v>
      </c>
      <c r="C99" s="3" t="e">
        <f>+C98/'[1]SOURCES AND USES'!D7</f>
        <v>#VALUE!</v>
      </c>
    </row>
    <row r="100" spans="1:3" x14ac:dyDescent="0.2">
      <c r="A100" s="16" t="s">
        <v>181</v>
      </c>
      <c r="C100" s="3">
        <v>190000</v>
      </c>
    </row>
    <row r="102" spans="1:3" x14ac:dyDescent="0.2">
      <c r="A102" s="16" t="s">
        <v>182</v>
      </c>
      <c r="C102" s="6" t="e">
        <f>IF(C100&gt;=C99,"YES","****NO****")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SUMMARY</vt:lpstr>
      <vt:lpstr>COST DETAIL</vt:lpstr>
      <vt:lpstr>construction contract</vt:lpstr>
      <vt:lpstr>OHFA TIE-BREAK SCORING</vt:lpstr>
      <vt:lpstr>CONST CONTRACT - SCH OF VALUE</vt:lpstr>
      <vt:lpstr>SUMMARY PROFORMA</vt:lpstr>
      <vt:lpstr>OPERATING PROJECTIONS</vt:lpstr>
      <vt:lpstr>FHLB SCORING</vt:lpstr>
      <vt:lpstr>OHFA compliance review</vt:lpstr>
      <vt:lpstr>LEASE UP OPERATING EXPENSES</vt:lpstr>
      <vt:lpstr>Summary _ Original</vt:lpstr>
      <vt:lpstr>ELI</vt:lpstr>
      <vt:lpstr>LIHTC_PER</vt:lpstr>
      <vt:lpstr>LIHTC_PER_UNIT</vt:lpstr>
      <vt:lpstr>'CONST CONTRACT - SCH OF VALUE'!Print_Area</vt:lpstr>
      <vt:lpstr>'construction contract'!Print_Area</vt:lpstr>
      <vt:lpstr>'COST DETAIL'!Print_Area</vt:lpstr>
      <vt:lpstr>'FHLB SCORING'!Print_Area</vt:lpstr>
      <vt:lpstr>SUMMARY!Print_Area</vt:lpstr>
      <vt:lpstr>'SUMMARY PROFORMA'!Print_Area</vt:lpstr>
      <vt:lpstr>'COST DETAIL'!Print_Titles</vt:lpstr>
      <vt:lpstr>'FHLB SCORING'!Print_Titles</vt:lpstr>
      <vt:lpstr>SUMMARY!Print_Titles</vt:lpstr>
      <vt:lpstr>TDC</vt:lpstr>
      <vt:lpstr>TDC_PER_NET_RENTABLE</vt:lpstr>
      <vt:lpstr>TDC_PER_UNIT</vt:lpstr>
    </vt:vector>
  </TitlesOfParts>
  <Company>Preferred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Debbie Watts Robinson</cp:lastModifiedBy>
  <cp:lastPrinted>2023-01-28T20:47:41Z</cp:lastPrinted>
  <dcterms:created xsi:type="dcterms:W3CDTF">2009-04-27T11:59:52Z</dcterms:created>
  <dcterms:modified xsi:type="dcterms:W3CDTF">2023-10-10T18:18:25Z</dcterms:modified>
</cp:coreProperties>
</file>