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\2021-20 DIA - NE Logistics Access\Cost Estimates\Conceptual Design\"/>
    </mc:Choice>
  </mc:AlternateContent>
  <xr:revisionPtr revIDLastSave="0" documentId="13_ncr:1_{7FAB47E8-698C-4767-AE57-05ADD112AF68}" xr6:coauthVersionLast="46" xr6:coauthVersionMax="46" xr10:uidLastSave="{00000000-0000-0000-0000-000000000000}"/>
  <bookViews>
    <workbookView xWindow="-120" yWindow="-120" windowWidth="29040" windowHeight="15840" firstSheet="4" activeTab="8" xr2:uid="{00000000-000D-0000-FFFF-FFFF00000000}"/>
  </bookViews>
  <sheets>
    <sheet name="Lightner - 2-Lane Resurfacing" sheetId="5" r:id="rId1"/>
    <sheet name="Lightner - 3-Lane Widening" sheetId="6" r:id="rId2"/>
    <sheet name="N Dixie - 3-Lane Resurfacing" sheetId="7" r:id="rId3"/>
    <sheet name="N Dixie - 3-Lane Widening" sheetId="8" r:id="rId4"/>
    <sheet name="N Dixie - SB Resurfacing" sheetId="9" r:id="rId5"/>
    <sheet name="N Dixie - NB Widening" sheetId="10" r:id="rId6"/>
    <sheet name="Northwoods Blvd" sheetId="1" r:id="rId7"/>
    <sheet name="Cost Totals" sheetId="11" r:id="rId8"/>
    <sheet name="Jurisdictional Limits" sheetId="4" r:id="rId9"/>
    <sheet name="Budget Summary" sheetId="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10" l="1"/>
  <c r="E18" i="10"/>
  <c r="E16" i="10"/>
  <c r="N15" i="7"/>
  <c r="N19" i="6"/>
  <c r="N19" i="5"/>
  <c r="N17" i="5"/>
  <c r="U12" i="4"/>
  <c r="E42" i="3" s="1"/>
  <c r="S12" i="4"/>
  <c r="N15" i="10"/>
  <c r="F43" i="3"/>
  <c r="F42" i="3"/>
  <c r="C26" i="3"/>
  <c r="D15" i="3"/>
  <c r="A6" i="3"/>
  <c r="H22" i="1"/>
  <c r="H23" i="1" s="1"/>
  <c r="H21" i="1"/>
  <c r="O21" i="1"/>
  <c r="N21" i="1"/>
  <c r="P21" i="1" s="1"/>
  <c r="N18" i="1"/>
  <c r="P18" i="1" s="1"/>
  <c r="F37" i="4"/>
  <c r="J36" i="4" s="1"/>
  <c r="F31" i="4"/>
  <c r="J30" i="4" s="1"/>
  <c r="L30" i="4" s="1"/>
  <c r="J28" i="4"/>
  <c r="L28" i="4" s="1"/>
  <c r="F25" i="4"/>
  <c r="J26" i="4" s="1"/>
  <c r="L26" i="4" s="1"/>
  <c r="H14" i="4"/>
  <c r="F15" i="4" s="1"/>
  <c r="F17" i="4" s="1"/>
  <c r="A6" i="4"/>
  <c r="E43" i="3" l="1"/>
  <c r="L36" i="4"/>
  <c r="N38" i="4"/>
  <c r="J24" i="4"/>
  <c r="J18" i="4"/>
  <c r="L18" i="4" s="1"/>
  <c r="J16" i="4"/>
  <c r="O22" i="8"/>
  <c r="N32" i="4" l="1"/>
  <c r="Q32" i="4" s="1"/>
  <c r="L24" i="4"/>
  <c r="N20" i="4"/>
  <c r="L16" i="4"/>
  <c r="L15" i="11"/>
  <c r="L14" i="11"/>
  <c r="L13" i="11"/>
  <c r="L12" i="11"/>
  <c r="I18" i="11"/>
  <c r="I17" i="11"/>
  <c r="I16" i="11"/>
  <c r="A6" i="11"/>
  <c r="O32" i="4" l="1"/>
  <c r="N40" i="4"/>
  <c r="P22" i="8" l="1"/>
  <c r="H23" i="8"/>
  <c r="H22" i="8"/>
  <c r="N15" i="6" l="1"/>
  <c r="E26" i="6"/>
  <c r="N19" i="8"/>
  <c r="N16" i="6" l="1"/>
  <c r="E27" i="5"/>
  <c r="A8" i="8" l="1"/>
  <c r="N17" i="6" l="1"/>
  <c r="H22" i="6"/>
  <c r="N20" i="6"/>
  <c r="P17" i="6" l="1"/>
  <c r="P19" i="10"/>
  <c r="N17" i="10"/>
  <c r="P17" i="10" s="1"/>
  <c r="N16" i="10"/>
  <c r="P16" i="10" s="1"/>
  <c r="E40" i="10"/>
  <c r="E41" i="10" s="1"/>
  <c r="N38" i="10" s="1"/>
  <c r="P38" i="10" s="1"/>
  <c r="E30" i="10"/>
  <c r="E32" i="10" s="1"/>
  <c r="E28" i="10"/>
  <c r="L50" i="10"/>
  <c r="N40" i="10"/>
  <c r="P40" i="10" s="1"/>
  <c r="P39" i="10"/>
  <c r="P25" i="10"/>
  <c r="H16" i="10"/>
  <c r="H17" i="10" s="1"/>
  <c r="H18" i="10" s="1"/>
  <c r="H19" i="10" s="1"/>
  <c r="H25" i="10" s="1"/>
  <c r="P15" i="10"/>
  <c r="A8" i="10"/>
  <c r="L44" i="9"/>
  <c r="N34" i="9"/>
  <c r="P34" i="9" s="1"/>
  <c r="E34" i="9"/>
  <c r="E35" i="9" s="1"/>
  <c r="N32" i="9" s="1"/>
  <c r="P32" i="9" s="1"/>
  <c r="P33" i="9"/>
  <c r="E26" i="9"/>
  <c r="E22" i="9"/>
  <c r="P19" i="9"/>
  <c r="H19" i="9"/>
  <c r="H20" i="9" s="1"/>
  <c r="H21" i="9" s="1"/>
  <c r="H22" i="9" s="1"/>
  <c r="H23" i="9" s="1"/>
  <c r="H24" i="9" s="1"/>
  <c r="H25" i="9" s="1"/>
  <c r="H26" i="9" s="1"/>
  <c r="H28" i="9" s="1"/>
  <c r="H30" i="9" s="1"/>
  <c r="H32" i="9" s="1"/>
  <c r="H33" i="9" s="1"/>
  <c r="H34" i="9" s="1"/>
  <c r="H36" i="9" s="1"/>
  <c r="N15" i="9"/>
  <c r="P15" i="9" s="1"/>
  <c r="A8" i="9"/>
  <c r="N20" i="8"/>
  <c r="P20" i="8" s="1"/>
  <c r="P19" i="8"/>
  <c r="H18" i="8"/>
  <c r="H19" i="8" s="1"/>
  <c r="H20" i="8" s="1"/>
  <c r="N17" i="8"/>
  <c r="P17" i="8" s="1"/>
  <c r="N16" i="8"/>
  <c r="P16" i="8" s="1"/>
  <c r="N15" i="8"/>
  <c r="P15" i="8" s="1"/>
  <c r="E28" i="8"/>
  <c r="E30" i="8" s="1"/>
  <c r="L48" i="8"/>
  <c r="N38" i="8"/>
  <c r="P38" i="8" s="1"/>
  <c r="E38" i="8"/>
  <c r="E39" i="8" s="1"/>
  <c r="N36" i="8" s="1"/>
  <c r="P36" i="8" s="1"/>
  <c r="P37" i="8"/>
  <c r="E26" i="8"/>
  <c r="P23" i="8"/>
  <c r="H17" i="8"/>
  <c r="H16" i="8"/>
  <c r="H20" i="7"/>
  <c r="N16" i="7"/>
  <c r="P16" i="7" s="1"/>
  <c r="L45" i="7"/>
  <c r="N35" i="7"/>
  <c r="P35" i="7" s="1"/>
  <c r="E35" i="7"/>
  <c r="E36" i="7" s="1"/>
  <c r="N33" i="7" s="1"/>
  <c r="P33" i="7" s="1"/>
  <c r="P34" i="7"/>
  <c r="E27" i="7"/>
  <c r="E23" i="7"/>
  <c r="P20" i="7"/>
  <c r="H16" i="7"/>
  <c r="H17" i="7" s="1"/>
  <c r="P15" i="7"/>
  <c r="A8" i="7"/>
  <c r="P42" i="7" l="1"/>
  <c r="H26" i="10"/>
  <c r="H27" i="10" s="1"/>
  <c r="H28" i="10" s="1"/>
  <c r="H29" i="10" s="1"/>
  <c r="H30" i="10" s="1"/>
  <c r="H31" i="10" s="1"/>
  <c r="H32" i="10" s="1"/>
  <c r="H34" i="10" s="1"/>
  <c r="H36" i="10" s="1"/>
  <c r="H38" i="10" s="1"/>
  <c r="H39" i="10" s="1"/>
  <c r="H40" i="10" s="1"/>
  <c r="H42" i="10" s="1"/>
  <c r="E28" i="7"/>
  <c r="N17" i="7" s="1"/>
  <c r="P17" i="7" s="1"/>
  <c r="P22" i="7" s="1"/>
  <c r="H24" i="8"/>
  <c r="H25" i="8" s="1"/>
  <c r="H26" i="8" s="1"/>
  <c r="H27" i="8" s="1"/>
  <c r="H28" i="8" s="1"/>
  <c r="H29" i="8" s="1"/>
  <c r="H30" i="8" s="1"/>
  <c r="H32" i="8" s="1"/>
  <c r="H34" i="8" s="1"/>
  <c r="H36" i="8" s="1"/>
  <c r="H37" i="8" s="1"/>
  <c r="H38" i="8" s="1"/>
  <c r="H40" i="8" s="1"/>
  <c r="P47" i="10"/>
  <c r="E33" i="10"/>
  <c r="N18" i="10" s="1"/>
  <c r="P18" i="10" s="1"/>
  <c r="P26" i="10" s="1"/>
  <c r="P41" i="9"/>
  <c r="E27" i="9"/>
  <c r="N16" i="9" s="1"/>
  <c r="P16" i="9" s="1"/>
  <c r="P22" i="9" s="1"/>
  <c r="E31" i="8"/>
  <c r="N18" i="8" s="1"/>
  <c r="P18" i="8" s="1"/>
  <c r="P24" i="8" s="1"/>
  <c r="P45" i="8"/>
  <c r="H21" i="7"/>
  <c r="H22" i="7" s="1"/>
  <c r="H23" i="7" s="1"/>
  <c r="H24" i="7" s="1"/>
  <c r="H25" i="7" s="1"/>
  <c r="H26" i="7" s="1"/>
  <c r="H27" i="7" s="1"/>
  <c r="H29" i="7" s="1"/>
  <c r="H31" i="7" s="1"/>
  <c r="H33" i="7" s="1"/>
  <c r="H34" i="7" s="1"/>
  <c r="H35" i="7" s="1"/>
  <c r="H37" i="7" s="1"/>
  <c r="P15" i="6"/>
  <c r="H19" i="6"/>
  <c r="H20" i="6" s="1"/>
  <c r="L47" i="6"/>
  <c r="N37" i="6"/>
  <c r="P37" i="6" s="1"/>
  <c r="E36" i="6"/>
  <c r="E37" i="6" s="1"/>
  <c r="N35" i="6" s="1"/>
  <c r="P35" i="6" s="1"/>
  <c r="P36" i="6"/>
  <c r="E28" i="6"/>
  <c r="E24" i="6"/>
  <c r="P22" i="6"/>
  <c r="P20" i="6"/>
  <c r="P19" i="6"/>
  <c r="H17" i="6"/>
  <c r="H18" i="6" s="1"/>
  <c r="H16" i="6"/>
  <c r="P16" i="6"/>
  <c r="A8" i="6"/>
  <c r="N16" i="5"/>
  <c r="N15" i="5"/>
  <c r="P27" i="8" l="1"/>
  <c r="P28" i="8"/>
  <c r="P25" i="8"/>
  <c r="P29" i="8"/>
  <c r="P26" i="8"/>
  <c r="P30" i="8"/>
  <c r="P32" i="8"/>
  <c r="P24" i="7"/>
  <c r="P23" i="7"/>
  <c r="P21" i="7"/>
  <c r="P29" i="7"/>
  <c r="P27" i="7"/>
  <c r="P26" i="7"/>
  <c r="P25" i="7"/>
  <c r="P30" i="10"/>
  <c r="P29" i="10"/>
  <c r="P31" i="10"/>
  <c r="P34" i="10"/>
  <c r="P27" i="10"/>
  <c r="P32" i="10"/>
  <c r="P28" i="10"/>
  <c r="P23" i="9"/>
  <c r="P20" i="9"/>
  <c r="P24" i="9"/>
  <c r="P28" i="9"/>
  <c r="P21" i="9"/>
  <c r="P26" i="9"/>
  <c r="P25" i="9"/>
  <c r="H23" i="6"/>
  <c r="H24" i="6" s="1"/>
  <c r="H25" i="6" s="1"/>
  <c r="H26" i="6" s="1"/>
  <c r="H27" i="6" s="1"/>
  <c r="H28" i="6" s="1"/>
  <c r="H29" i="6" s="1"/>
  <c r="H31" i="6" s="1"/>
  <c r="H33" i="6" s="1"/>
  <c r="H35" i="6" s="1"/>
  <c r="H36" i="6" s="1"/>
  <c r="H37" i="6" s="1"/>
  <c r="H39" i="6" s="1"/>
  <c r="P44" i="6"/>
  <c r="E29" i="6"/>
  <c r="N18" i="6" s="1"/>
  <c r="P18" i="6" s="1"/>
  <c r="P24" i="6" s="1"/>
  <c r="H21" i="5"/>
  <c r="H18" i="5"/>
  <c r="H19" i="5" s="1"/>
  <c r="P17" i="5"/>
  <c r="P15" i="5"/>
  <c r="P31" i="7" l="1"/>
  <c r="P37" i="7" s="1"/>
  <c r="P43" i="7"/>
  <c r="P44" i="7" s="1"/>
  <c r="P31" i="6"/>
  <c r="P23" i="6"/>
  <c r="P26" i="6"/>
  <c r="P29" i="6"/>
  <c r="P25" i="6"/>
  <c r="P27" i="6"/>
  <c r="P28" i="6"/>
  <c r="P46" i="8"/>
  <c r="P47" i="8" s="1"/>
  <c r="P48" i="10"/>
  <c r="P36" i="10"/>
  <c r="P42" i="10" s="1"/>
  <c r="P42" i="9"/>
  <c r="P43" i="9" s="1"/>
  <c r="P30" i="9"/>
  <c r="P40" i="9" s="1"/>
  <c r="P34" i="8"/>
  <c r="P43" i="8" s="1"/>
  <c r="L46" i="5"/>
  <c r="N36" i="5"/>
  <c r="P36" i="5" s="1"/>
  <c r="D20" i="3" s="1"/>
  <c r="E38" i="5"/>
  <c r="E39" i="5" s="1"/>
  <c r="N34" i="5" s="1"/>
  <c r="P34" i="5" s="1"/>
  <c r="P35" i="5"/>
  <c r="E29" i="5"/>
  <c r="E25" i="5"/>
  <c r="P21" i="5"/>
  <c r="P19" i="5"/>
  <c r="H17" i="5"/>
  <c r="H22" i="5" s="1"/>
  <c r="H23" i="5" s="1"/>
  <c r="H24" i="5" s="1"/>
  <c r="H25" i="5" s="1"/>
  <c r="H26" i="5" s="1"/>
  <c r="H27" i="5" s="1"/>
  <c r="H28" i="5" s="1"/>
  <c r="H30" i="5" s="1"/>
  <c r="H32" i="5" s="1"/>
  <c r="H34" i="5" s="1"/>
  <c r="H35" i="5" s="1"/>
  <c r="H36" i="5" s="1"/>
  <c r="H38" i="5" s="1"/>
  <c r="H16" i="5"/>
  <c r="P16" i="5"/>
  <c r="A8" i="5"/>
  <c r="P38" i="7" l="1"/>
  <c r="P40" i="7"/>
  <c r="P45" i="7" s="1"/>
  <c r="O47" i="7" s="1"/>
  <c r="F14" i="11" s="1"/>
  <c r="I14" i="11" s="1"/>
  <c r="P41" i="7"/>
  <c r="P49" i="10"/>
  <c r="P45" i="6"/>
  <c r="P46" i="6" s="1"/>
  <c r="P33" i="6"/>
  <c r="P39" i="6" s="1"/>
  <c r="P46" i="10"/>
  <c r="P43" i="10"/>
  <c r="P45" i="10"/>
  <c r="P36" i="9"/>
  <c r="P37" i="9" s="1"/>
  <c r="P39" i="9"/>
  <c r="P44" i="9" s="1"/>
  <c r="O46" i="9" s="1"/>
  <c r="F16" i="11" s="1"/>
  <c r="L16" i="11" s="1"/>
  <c r="P40" i="8"/>
  <c r="P41" i="8" s="1"/>
  <c r="P44" i="8"/>
  <c r="P48" i="8" s="1"/>
  <c r="O50" i="8" s="1"/>
  <c r="F15" i="11" s="1"/>
  <c r="P43" i="5"/>
  <c r="E30" i="5"/>
  <c r="N18" i="5" s="1"/>
  <c r="P18" i="5" s="1"/>
  <c r="P30" i="5" s="1"/>
  <c r="A8" i="1"/>
  <c r="I15" i="11" l="1"/>
  <c r="P40" i="6"/>
  <c r="P22" i="5"/>
  <c r="P23" i="5"/>
  <c r="P25" i="5"/>
  <c r="P26" i="5"/>
  <c r="P24" i="5"/>
  <c r="P27" i="5"/>
  <c r="P28" i="5"/>
  <c r="P43" i="6"/>
  <c r="P50" i="10"/>
  <c r="P42" i="6"/>
  <c r="E24" i="1"/>
  <c r="O52" i="10" l="1"/>
  <c r="F17" i="11" s="1"/>
  <c r="L17" i="11" s="1"/>
  <c r="P44" i="5"/>
  <c r="P45" i="5" s="1"/>
  <c r="P32" i="5"/>
  <c r="P38" i="5" s="1"/>
  <c r="P47" i="6"/>
  <c r="O49" i="6" s="1"/>
  <c r="F13" i="11" s="1"/>
  <c r="I13" i="11" s="1"/>
  <c r="N19" i="1"/>
  <c r="N17" i="1"/>
  <c r="P42" i="5" l="1"/>
  <c r="P39" i="5"/>
  <c r="P41" i="5"/>
  <c r="P46" i="5" l="1"/>
  <c r="F11" i="3"/>
  <c r="G11" i="3" s="1"/>
  <c r="H11" i="3" s="1"/>
  <c r="N37" i="1"/>
  <c r="P37" i="1" s="1"/>
  <c r="P36" i="1"/>
  <c r="H15" i="3"/>
  <c r="H26" i="3" s="1"/>
  <c r="P22" i="1"/>
  <c r="N15" i="1"/>
  <c r="P15" i="1" s="1"/>
  <c r="L47" i="1"/>
  <c r="P17" i="1"/>
  <c r="E36" i="1"/>
  <c r="E22" i="1"/>
  <c r="P19" i="1"/>
  <c r="H16" i="1"/>
  <c r="H17" i="1" s="1"/>
  <c r="H18" i="1" s="1"/>
  <c r="H19" i="1" s="1"/>
  <c r="O48" i="5" l="1"/>
  <c r="F12" i="11" s="1"/>
  <c r="I12" i="11" s="1"/>
  <c r="I20" i="11" s="1"/>
  <c r="H24" i="1"/>
  <c r="H25" i="1" s="1"/>
  <c r="H26" i="1" s="1"/>
  <c r="H27" i="1" s="1"/>
  <c r="H28" i="1" s="1"/>
  <c r="H29" i="1" s="1"/>
  <c r="H31" i="1" s="1"/>
  <c r="H33" i="1" s="1"/>
  <c r="H35" i="1" s="1"/>
  <c r="H36" i="1" s="1"/>
  <c r="H37" i="1" s="1"/>
  <c r="H39" i="1" s="1"/>
  <c r="I11" i="3"/>
  <c r="E26" i="1"/>
  <c r="E37" i="1"/>
  <c r="N35" i="1" s="1"/>
  <c r="E27" i="1" l="1"/>
  <c r="N16" i="1" s="1"/>
  <c r="P16" i="1" s="1"/>
  <c r="J11" i="3"/>
  <c r="I20" i="3"/>
  <c r="P35" i="1"/>
  <c r="P44" i="1" l="1"/>
  <c r="D19" i="3"/>
  <c r="P25" i="1"/>
  <c r="P26" i="1"/>
  <c r="P29" i="1"/>
  <c r="P31" i="1"/>
  <c r="P28" i="1"/>
  <c r="P24" i="1"/>
  <c r="P27" i="1"/>
  <c r="P23" i="1"/>
  <c r="I19" i="3"/>
  <c r="I26" i="3" s="1"/>
  <c r="P45" i="1" l="1"/>
  <c r="P33" i="1"/>
  <c r="P39" i="1" s="1"/>
  <c r="P40" i="1" s="1"/>
  <c r="I28" i="3"/>
  <c r="H28" i="3"/>
  <c r="P46" i="1" l="1"/>
  <c r="D24" i="3" s="1"/>
  <c r="J24" i="3" s="1"/>
  <c r="D22" i="3"/>
  <c r="J22" i="3" s="1"/>
  <c r="P42" i="1"/>
  <c r="D13" i="3" s="1"/>
  <c r="P43" i="1"/>
  <c r="D14" i="3" s="1"/>
  <c r="J26" i="3" l="1"/>
  <c r="J28" i="3" s="1"/>
  <c r="P47" i="1"/>
  <c r="D26" i="3" s="1"/>
  <c r="O49" i="1" l="1"/>
  <c r="F18" i="11" s="1"/>
  <c r="L18" i="11" s="1"/>
  <c r="L20" i="11" s="1"/>
  <c r="D28" i="3"/>
  <c r="E13" i="3"/>
  <c r="F20" i="11" l="1"/>
  <c r="L22" i="11" s="1"/>
  <c r="E14" i="3"/>
  <c r="F14" i="3" s="1"/>
  <c r="F26" i="3" l="1"/>
  <c r="F28" i="3" s="1"/>
  <c r="I22" i="11"/>
  <c r="E26" i="3"/>
  <c r="E28" i="3" s="1"/>
  <c r="E33" i="3" l="1"/>
  <c r="E34" i="3"/>
  <c r="E32" i="3"/>
  <c r="F32" i="3" s="1"/>
  <c r="F34" i="3" s="1"/>
  <c r="K28" i="3"/>
  <c r="F33" i="3" l="1"/>
  <c r="K33" i="3" s="1"/>
  <c r="K34" i="3"/>
  <c r="E37" i="3"/>
  <c r="K32" i="3"/>
  <c r="F37" i="3" l="1"/>
</calcChain>
</file>

<file path=xl/sharedStrings.xml><?xml version="1.0" encoding="utf-8"?>
<sst xmlns="http://schemas.openxmlformats.org/spreadsheetml/2006/main" count="1108" uniqueCount="214">
  <si>
    <t>Pavement Width</t>
  </si>
  <si>
    <t>feet</t>
  </si>
  <si>
    <t>Item</t>
  </si>
  <si>
    <t>Description</t>
  </si>
  <si>
    <t>Units</t>
  </si>
  <si>
    <t>Quantity</t>
  </si>
  <si>
    <t>Unit Price</t>
  </si>
  <si>
    <t>Total</t>
  </si>
  <si>
    <t>Earthwork</t>
  </si>
  <si>
    <t>cu yd</t>
  </si>
  <si>
    <t>sq ft</t>
  </si>
  <si>
    <t>ft</t>
  </si>
  <si>
    <t>sq yd</t>
  </si>
  <si>
    <t>Drainage</t>
  </si>
  <si>
    <t>Lump</t>
  </si>
  <si>
    <t>N/A</t>
  </si>
  <si>
    <t>Erosion Control</t>
  </si>
  <si>
    <t>MOT</t>
  </si>
  <si>
    <t>Traffic Control</t>
  </si>
  <si>
    <t>Public Utilities</t>
  </si>
  <si>
    <t>Incidentals</t>
  </si>
  <si>
    <t>Contingency</t>
  </si>
  <si>
    <t xml:space="preserve"> </t>
  </si>
  <si>
    <t>Relocation Costs</t>
  </si>
  <si>
    <t>acres</t>
  </si>
  <si>
    <t>Length</t>
  </si>
  <si>
    <t>1.</t>
  </si>
  <si>
    <t xml:space="preserve">Property Acquisition Required </t>
  </si>
  <si>
    <t>Property Acquisition</t>
  </si>
  <si>
    <t>Project Dimensions</t>
  </si>
  <si>
    <t>Graded Section Width</t>
  </si>
  <si>
    <t>Street Lighting</t>
  </si>
  <si>
    <t>each</t>
  </si>
  <si>
    <t>Construction</t>
  </si>
  <si>
    <t>Construction Engineering</t>
  </si>
  <si>
    <t>Right of Way</t>
  </si>
  <si>
    <t>Design Engineering</t>
  </si>
  <si>
    <t>of Design Engineering</t>
  </si>
  <si>
    <t>of Construction Cost</t>
  </si>
  <si>
    <t>Total Project Cost</t>
  </si>
  <si>
    <t>Notes</t>
  </si>
  <si>
    <t>Design, R/W &amp; Construction Cost Subtotal</t>
  </si>
  <si>
    <t>A</t>
  </si>
  <si>
    <t>B</t>
  </si>
  <si>
    <t>C</t>
  </si>
  <si>
    <t>D</t>
  </si>
  <si>
    <t>E</t>
  </si>
  <si>
    <t>F</t>
  </si>
  <si>
    <t>w/o contingency</t>
  </si>
  <si>
    <t>of Components A - E</t>
  </si>
  <si>
    <t>Project Costs</t>
  </si>
  <si>
    <t>Engineering</t>
  </si>
  <si>
    <t>Construction Inspection</t>
  </si>
  <si>
    <t>Total Project Costs</t>
  </si>
  <si>
    <t>County A &amp; G</t>
  </si>
  <si>
    <t>Total Project Funding</t>
  </si>
  <si>
    <t>Average Annual Escalation</t>
  </si>
  <si>
    <t>Funding Amounts</t>
  </si>
  <si>
    <t>R/W Acquisition Services</t>
  </si>
  <si>
    <t>(See Notes below)</t>
  </si>
  <si>
    <t>Conceptual Cost Estimate</t>
  </si>
  <si>
    <t>Ave. Earthwork Width</t>
  </si>
  <si>
    <t>Ave. Earthwork Depth</t>
  </si>
  <si>
    <t>Ave. Earthwork Area</t>
  </si>
  <si>
    <t>Earthwork Volume</t>
  </si>
  <si>
    <t>Net Area</t>
  </si>
  <si>
    <t>ft width</t>
  </si>
  <si>
    <t>Environmental Reports</t>
  </si>
  <si>
    <t>Environmental Reports (CE by ODOT)</t>
  </si>
  <si>
    <t>Average R/W Width</t>
  </si>
  <si>
    <t>Minimum R/W Width</t>
  </si>
  <si>
    <t>Cost in</t>
  </si>
  <si>
    <t>Private Utilities</t>
  </si>
  <si>
    <t>Right of Way &amp; Utilities</t>
  </si>
  <si>
    <t>SLM</t>
  </si>
  <si>
    <t>County</t>
  </si>
  <si>
    <t>MCEO</t>
  </si>
  <si>
    <t>Section Funding Responsibility</t>
  </si>
  <si>
    <t xml:space="preserve">   Preliminary Engineering</t>
  </si>
  <si>
    <t xml:space="preserve">   Final Design</t>
  </si>
  <si>
    <t>Reimbursable Utilities</t>
  </si>
  <si>
    <t>Vandalia</t>
  </si>
  <si>
    <t>North Dixie Drive</t>
  </si>
  <si>
    <t>Traffic Signals</t>
  </si>
  <si>
    <t>City of Vandalia</t>
  </si>
  <si>
    <t>Sidewalks</t>
  </si>
  <si>
    <t>Project Length</t>
  </si>
  <si>
    <t xml:space="preserve">Pavement Scope: </t>
  </si>
  <si>
    <t>Costs estimated in 2020 dollars.</t>
  </si>
  <si>
    <t>Resurfacing</t>
  </si>
  <si>
    <t>Roadway</t>
  </si>
  <si>
    <t>of Items 1 - 17</t>
  </si>
  <si>
    <t>of Items 1 - 13</t>
  </si>
  <si>
    <t>Butler Township</t>
  </si>
  <si>
    <t>Pavement Widths</t>
  </si>
  <si>
    <t>Bikepath</t>
  </si>
  <si>
    <t>Full Depth</t>
  </si>
  <si>
    <t>Full Depth Shoulders</t>
  </si>
  <si>
    <t>Graded Section Width (net)</t>
  </si>
  <si>
    <t>of Items 1 - 5</t>
  </si>
  <si>
    <t>of Items 1 - 14</t>
  </si>
  <si>
    <t>of Items 1 - 18</t>
  </si>
  <si>
    <t>Existing Pavement Width</t>
  </si>
  <si>
    <t>Proposed Pavement Width</t>
  </si>
  <si>
    <t>mill &amp; resurface existing,</t>
  </si>
  <si>
    <t>add bikepath on east side</t>
  </si>
  <si>
    <t>of Items 1 - 3</t>
  </si>
  <si>
    <t>of Items 1 - 12</t>
  </si>
  <si>
    <t>of Items 1 - 16</t>
  </si>
  <si>
    <t>Full Depth Widening</t>
  </si>
  <si>
    <t>Existing R/W Width</t>
  </si>
  <si>
    <t>Sidewalk</t>
  </si>
  <si>
    <t>of Items 1 - 6</t>
  </si>
  <si>
    <t>of Items 1 - 19</t>
  </si>
  <si>
    <t>of Items 1 - 15</t>
  </si>
  <si>
    <t>mill &amp; resurface existing SB lanes</t>
  </si>
  <si>
    <t>Existing R/W 1/2 Width</t>
  </si>
  <si>
    <t>Minimum R/W 1/2 Width</t>
  </si>
  <si>
    <t>Average R/W 1/2 Width</t>
  </si>
  <si>
    <t>of Items 1 - 2</t>
  </si>
  <si>
    <t>of Items 1 - 11</t>
  </si>
  <si>
    <t>Graded Section Width SB</t>
  </si>
  <si>
    <t>Ave. Earthwork Width SB</t>
  </si>
  <si>
    <t>Ave. Earthwork Depth SB</t>
  </si>
  <si>
    <t>Ave. Earthwork Width NB</t>
  </si>
  <si>
    <t>Ave. Earthwork Depth NB</t>
  </si>
  <si>
    <t>Existing 4-Lane Section</t>
  </si>
  <si>
    <t>Pavement Widths NB</t>
  </si>
  <si>
    <t>Project Length SB</t>
  </si>
  <si>
    <t>Existing 2-Lane Section</t>
  </si>
  <si>
    <t>Existing 3-Lane Section</t>
  </si>
  <si>
    <t>Resurfacing, Bikepath</t>
  </si>
  <si>
    <t>from:</t>
  </si>
  <si>
    <t>to:</t>
  </si>
  <si>
    <t>USA Truck</t>
  </si>
  <si>
    <t>Lightner Road</t>
  </si>
  <si>
    <t>Chewy's</t>
  </si>
  <si>
    <t>Northwoods Blvd</t>
  </si>
  <si>
    <t>North Dixie Dr</t>
  </si>
  <si>
    <t>Bikepath Width</t>
  </si>
  <si>
    <t>Northwoods-North Dixie-Lightner Road Improvements</t>
  </si>
  <si>
    <t>DIA Northeast Logistics Access</t>
  </si>
  <si>
    <t>Widening for dual SB LTL, C&amp;G, Bikepath</t>
  </si>
  <si>
    <t>angle point</t>
  </si>
  <si>
    <t>North Dixie Dr - NB</t>
  </si>
  <si>
    <t>North Dixie Dr - SB</t>
  </si>
  <si>
    <t>DIA property line</t>
  </si>
  <si>
    <t>North Dixie - Resurfacing</t>
  </si>
  <si>
    <t>North Dixie - Widening</t>
  </si>
  <si>
    <t>Lightner - Resurfacing</t>
  </si>
  <si>
    <t>Lightner - Widening</t>
  </si>
  <si>
    <t>Northwoods Boulevard</t>
  </si>
  <si>
    <t>North Dixie - SB Resurfacing</t>
  </si>
  <si>
    <t>North Dixie - NB Widening</t>
  </si>
  <si>
    <t>Flying J Truckstop</t>
  </si>
  <si>
    <t>(Central Transport)</t>
  </si>
  <si>
    <t>widen to 3-lane section: widen shldr (west),</t>
  </si>
  <si>
    <t>add lane, C&amp;G, and bikepath (east)</t>
  </si>
  <si>
    <t>mill &amp; resurf. existing NB (24'), widen (12'),</t>
  </si>
  <si>
    <t>add C&amp;G and bikepath on east side</t>
  </si>
  <si>
    <t>Graded Section Width NB (net)</t>
  </si>
  <si>
    <t>Box Culvert</t>
  </si>
  <si>
    <t>ft length</t>
  </si>
  <si>
    <t>Montgomery</t>
  </si>
  <si>
    <t>City of</t>
  </si>
  <si>
    <t>Project</t>
  </si>
  <si>
    <t>Alignment &amp; Location</t>
  </si>
  <si>
    <t>Peters Pike</t>
  </si>
  <si>
    <t>(feet)</t>
  </si>
  <si>
    <t>Begin Project</t>
  </si>
  <si>
    <t>Distance</t>
  </si>
  <si>
    <t>2-Lane/3-Lane Transition</t>
  </si>
  <si>
    <t>Section Length</t>
  </si>
  <si>
    <t>(mile)</t>
  </si>
  <si>
    <t>Section Line/Corp. Limit</t>
  </si>
  <si>
    <t>Norhtwoods Blvd. (Engle Rd.)</t>
  </si>
  <si>
    <t>500' S. of Northwoods Blvd.</t>
  </si>
  <si>
    <t>USA Truck Entrance</t>
  </si>
  <si>
    <t>Project Lengths and Jurisdictional Limits</t>
  </si>
  <si>
    <t>Totals</t>
  </si>
  <si>
    <t>PE Funding    Responsibility</t>
  </si>
  <si>
    <t>Total Project Length</t>
  </si>
  <si>
    <t>C&amp;G, APP (1'-9")</t>
  </si>
  <si>
    <t>no. parcels/owners</t>
  </si>
  <si>
    <t>TRAC</t>
  </si>
  <si>
    <t>TRAC/Federal</t>
  </si>
  <si>
    <t>TBD</t>
  </si>
  <si>
    <t>2.</t>
  </si>
  <si>
    <t>Federal funding commitments, local share allocations, and additional external funding sources</t>
  </si>
  <si>
    <t>Costs shown in 2020 dollars.</t>
  </si>
  <si>
    <t>Costs exclude R/W acquisition services.</t>
  </si>
  <si>
    <t>Full Depth Reconstruction, C&amp;G,</t>
  </si>
  <si>
    <t>C&amp;G (2'-6")</t>
  </si>
  <si>
    <t>Project Cost Totals</t>
  </si>
  <si>
    <t>Project Budget Summary</t>
  </si>
  <si>
    <t>3.</t>
  </si>
  <si>
    <t>Costs shown in Year of Expenditure dollars.</t>
  </si>
  <si>
    <t>PE Funding Participation</t>
  </si>
  <si>
    <t>Federal funding for PE capped at $1,600,000.</t>
  </si>
  <si>
    <t>for all phases after PE to be determined upon completion of final design.</t>
  </si>
  <si>
    <t>4.</t>
  </si>
  <si>
    <t>(2020 dollars w/o inflation)</t>
  </si>
  <si>
    <t>widen to 3-lane section: add lane, widen</t>
  </si>
  <si>
    <t>Resurfacing, Shoulder Widening, Bikepath</t>
  </si>
  <si>
    <t>widen shoulders, mill &amp; resurface existing,</t>
  </si>
  <si>
    <t>add C&amp;G and bikepath (south)</t>
  </si>
  <si>
    <t>Resurfacing, Widening, C&amp;G, Bikepath</t>
  </si>
  <si>
    <t>bikepath (south)</t>
  </si>
  <si>
    <t>shldr, C&amp;G (north); widen shldr, C&amp;G,</t>
  </si>
  <si>
    <t>End C&amp;G on north side at Wrena west P/L.</t>
  </si>
  <si>
    <t>End resurfacing 500' north of Lightner Road.</t>
  </si>
  <si>
    <t>Project Length NB</t>
  </si>
  <si>
    <t>Extend C&amp;G and bikepath to Inverness Avenue.</t>
  </si>
  <si>
    <t>Full depth reconstruction, replace C&amp;G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</si>
</sst>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$&quot;#,##0.00"/>
    <numFmt numFmtId="165" formatCode="&quot;$&quot;#,##0"/>
    <numFmt numFmtId="166" formatCode="0.0"/>
    <numFmt numFmtId="167" formatCode="#,##0.0"/>
    <numFmt numFmtId="168" formatCode="[$-409]mmmm\ d\,\ yyyy;@"/>
    <numFmt numFmtId="169" formatCode="0.0%"/>
    <numFmt numFmtId="170" formatCode="mm/dd/yy;@"/>
    <numFmt numFmtId="171" formatCode="00.00"/>
    <numFmt numFmtId="172" formatCode="0.000"/>
  </numFmts>
  <fonts count="21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2"/>
      <color indexed="48"/>
      <name val="Arial"/>
      <family val="2"/>
    </font>
    <font>
      <b/>
      <sz val="11"/>
      <color indexed="48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sz val="12"/>
      <color rgb="FFFF0000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9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/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166" fontId="0" fillId="0" borderId="0" xfId="0" applyNumberFormat="1"/>
    <xf numFmtId="167" fontId="0" fillId="0" borderId="0" xfId="0" applyNumberFormat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/>
    </xf>
    <xf numFmtId="0" fontId="4" fillId="0" borderId="2" xfId="0" applyFont="1" applyBorder="1" applyAlignment="1"/>
    <xf numFmtId="0" fontId="0" fillId="0" borderId="0" xfId="0" applyBorder="1"/>
    <xf numFmtId="9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6" fillId="0" borderId="0" xfId="0" applyFont="1"/>
    <xf numFmtId="165" fontId="6" fillId="0" borderId="0" xfId="0" applyNumberFormat="1" applyFont="1"/>
    <xf numFmtId="165" fontId="5" fillId="0" borderId="0" xfId="0" applyNumberFormat="1" applyFont="1" applyAlignment="1">
      <alignment horizontal="right"/>
    </xf>
    <xf numFmtId="0" fontId="7" fillId="0" borderId="0" xfId="0" applyFont="1"/>
    <xf numFmtId="0" fontId="5" fillId="0" borderId="2" xfId="0" applyFont="1" applyBorder="1" applyAlignment="1"/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1" xfId="0" applyFill="1" applyBorder="1"/>
    <xf numFmtId="169" fontId="0" fillId="0" borderId="0" xfId="0" applyNumberForma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5" fontId="11" fillId="0" borderId="0" xfId="0" applyNumberFormat="1" applyFont="1"/>
    <xf numFmtId="165" fontId="5" fillId="0" borderId="0" xfId="0" applyNumberFormat="1" applyFont="1"/>
    <xf numFmtId="9" fontId="0" fillId="0" borderId="0" xfId="0" applyNumberFormat="1"/>
    <xf numFmtId="9" fontId="11" fillId="0" borderId="0" xfId="0" applyNumberFormat="1" applyFont="1"/>
    <xf numFmtId="165" fontId="12" fillId="0" borderId="0" xfId="0" applyNumberFormat="1" applyFont="1"/>
    <xf numFmtId="165" fontId="13" fillId="0" borderId="0" xfId="0" applyNumberFormat="1" applyFont="1"/>
    <xf numFmtId="0" fontId="15" fillId="0" borderId="0" xfId="0" applyFont="1" applyAlignment="1">
      <alignment horizontal="right"/>
    </xf>
    <xf numFmtId="170" fontId="11" fillId="0" borderId="0" xfId="0" applyNumberFormat="1" applyFont="1"/>
    <xf numFmtId="0" fontId="5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0" fontId="14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/>
    <xf numFmtId="0" fontId="16" fillId="0" borderId="0" xfId="0" applyFont="1"/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9" fillId="0" borderId="5" xfId="0" applyFont="1" applyBorder="1"/>
    <xf numFmtId="0" fontId="9" fillId="0" borderId="0" xfId="0" applyFont="1" applyBorder="1"/>
    <xf numFmtId="2" fontId="15" fillId="0" borderId="0" xfId="0" applyNumberFormat="1" applyFont="1" applyBorder="1" applyAlignment="1">
      <alignment horizontal="center"/>
    </xf>
    <xf numFmtId="0" fontId="15" fillId="0" borderId="5" xfId="0" applyFont="1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0" borderId="3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9" fontId="11" fillId="0" borderId="0" xfId="0" applyNumberFormat="1" applyFont="1" applyAlignment="1">
      <alignment horizontal="center"/>
    </xf>
    <xf numFmtId="169" fontId="11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left"/>
    </xf>
    <xf numFmtId="1" fontId="0" fillId="0" borderId="0" xfId="0" applyNumberFormat="1"/>
    <xf numFmtId="0" fontId="11" fillId="0" borderId="0" xfId="0" quotePrefix="1" applyFont="1" applyAlignment="1">
      <alignment horizontal="right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5" fontId="6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9" fontId="15" fillId="0" borderId="6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9" fontId="15" fillId="0" borderId="5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7" xfId="0" applyFont="1" applyBorder="1" applyAlignment="1"/>
    <xf numFmtId="0" fontId="9" fillId="0" borderId="1" xfId="0" applyFont="1" applyBorder="1" applyAlignment="1"/>
    <xf numFmtId="0" fontId="9" fillId="0" borderId="0" xfId="0" applyFont="1" applyBorder="1" applyAlignment="1"/>
    <xf numFmtId="0" fontId="15" fillId="0" borderId="0" xfId="0" applyFont="1" applyBorder="1"/>
    <xf numFmtId="17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/>
    <xf numFmtId="0" fontId="15" fillId="0" borderId="0" xfId="0" applyFont="1"/>
    <xf numFmtId="0" fontId="15" fillId="0" borderId="6" xfId="0" applyFont="1" applyBorder="1"/>
    <xf numFmtId="2" fontId="15" fillId="0" borderId="0" xfId="0" applyNumberFormat="1" applyFont="1" applyBorder="1"/>
    <xf numFmtId="0" fontId="15" fillId="0" borderId="0" xfId="0" quotePrefix="1" applyFont="1" applyBorder="1"/>
    <xf numFmtId="2" fontId="2" fillId="0" borderId="0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172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2" fillId="0" borderId="3" xfId="0" applyFont="1" applyBorder="1" applyAlignment="1"/>
    <xf numFmtId="0" fontId="9" fillId="0" borderId="2" xfId="0" applyFont="1" applyBorder="1" applyAlignment="1"/>
    <xf numFmtId="172" fontId="9" fillId="0" borderId="2" xfId="0" applyNumberFormat="1" applyFont="1" applyBorder="1" applyAlignment="1">
      <alignment horizontal="center"/>
    </xf>
    <xf numFmtId="0" fontId="15" fillId="0" borderId="5" xfId="0" applyFont="1" applyBorder="1" applyAlignment="1"/>
    <xf numFmtId="1" fontId="15" fillId="0" borderId="0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0" fillId="0" borderId="0" xfId="0" applyFont="1"/>
    <xf numFmtId="169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left" vertical="center"/>
    </xf>
    <xf numFmtId="0" fontId="15" fillId="0" borderId="0" xfId="0" quotePrefix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5" fontId="1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9" fontId="2" fillId="0" borderId="0" xfId="0" applyNumberFormat="1" applyFont="1" applyAlignment="1">
      <alignment horizontal="right"/>
    </xf>
    <xf numFmtId="165" fontId="11" fillId="0" borderId="1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15" fillId="0" borderId="5" xfId="0" applyNumberFormat="1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9" fontId="15" fillId="0" borderId="6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169" fontId="1" fillId="0" borderId="3" xfId="0" applyNumberFormat="1" applyFont="1" applyBorder="1" applyAlignment="1">
      <alignment horizontal="center" vertical="center"/>
    </xf>
    <xf numFmtId="169" fontId="1" fillId="0" borderId="4" xfId="0" applyNumberFormat="1" applyFont="1" applyBorder="1" applyAlignment="1">
      <alignment horizontal="center" vertical="center"/>
    </xf>
    <xf numFmtId="169" fontId="1" fillId="0" borderId="5" xfId="0" applyNumberFormat="1" applyFont="1" applyBorder="1" applyAlignment="1">
      <alignment horizontal="center" vertical="center"/>
    </xf>
    <xf numFmtId="169" fontId="1" fillId="0" borderId="6" xfId="0" applyNumberFormat="1" applyFont="1" applyBorder="1" applyAlignment="1">
      <alignment horizontal="center" vertical="center"/>
    </xf>
    <xf numFmtId="169" fontId="1" fillId="0" borderId="7" xfId="0" applyNumberFormat="1" applyFont="1" applyBorder="1" applyAlignment="1">
      <alignment horizontal="center" vertical="center"/>
    </xf>
    <xf numFmtId="169" fontId="1" fillId="0" borderId="8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8FF6-61E2-4C6E-B7BA-B9B62099F557}">
  <sheetPr>
    <pageSetUpPr fitToPage="1"/>
  </sheetPr>
  <dimension ref="A1:R48"/>
  <sheetViews>
    <sheetView topLeftCell="A21" zoomScale="120" zoomScaleNormal="120" workbookViewId="0">
      <selection activeCell="L28" sqref="L28"/>
    </sheetView>
  </sheetViews>
  <sheetFormatPr defaultRowHeight="12.75" x14ac:dyDescent="0.2"/>
  <cols>
    <col min="1" max="1" width="4.7109375" customWidth="1"/>
    <col min="11" max="11" width="12.7109375" customWidth="1"/>
    <col min="12" max="12" width="6.7109375" customWidth="1"/>
    <col min="13" max="16" width="12.7109375" customWidth="1"/>
  </cols>
  <sheetData>
    <row r="1" spans="1:16" ht="26.25" x14ac:dyDescent="0.4">
      <c r="A1" s="27" t="s">
        <v>141</v>
      </c>
    </row>
    <row r="2" spans="1:16" ht="20.25" x14ac:dyDescent="0.3">
      <c r="A2" s="91" t="s">
        <v>140</v>
      </c>
    </row>
    <row r="3" spans="1:16" ht="20.25" customHeight="1" x14ac:dyDescent="0.35">
      <c r="A3" s="34"/>
    </row>
    <row r="4" spans="1:16" ht="20.25" x14ac:dyDescent="0.3">
      <c r="A4" s="1" t="s">
        <v>135</v>
      </c>
      <c r="E4" s="33" t="s">
        <v>129</v>
      </c>
      <c r="J4" s="90" t="s">
        <v>132</v>
      </c>
      <c r="K4" s="2" t="s">
        <v>136</v>
      </c>
      <c r="L4" s="2"/>
      <c r="M4" s="90" t="s">
        <v>133</v>
      </c>
      <c r="N4" s="2" t="s">
        <v>146</v>
      </c>
    </row>
    <row r="5" spans="1:16" ht="20.25" x14ac:dyDescent="0.3">
      <c r="A5" s="1" t="s">
        <v>93</v>
      </c>
      <c r="E5" s="33" t="s">
        <v>203</v>
      </c>
    </row>
    <row r="8" spans="1:16" ht="15.75" x14ac:dyDescent="0.25">
      <c r="A8" s="146">
        <f ca="1">TODAY()</f>
        <v>44498</v>
      </c>
      <c r="B8" s="146"/>
      <c r="C8" s="146"/>
    </row>
    <row r="10" spans="1:16" ht="20.25" x14ac:dyDescent="0.3">
      <c r="A10" s="1" t="s">
        <v>60</v>
      </c>
    </row>
    <row r="11" spans="1:16" x14ac:dyDescent="0.2">
      <c r="A11" t="s">
        <v>59</v>
      </c>
    </row>
    <row r="13" spans="1:16" ht="12.75" customHeight="1" x14ac:dyDescent="0.25">
      <c r="A13" s="2"/>
    </row>
    <row r="14" spans="1:16" ht="12.75" customHeight="1" x14ac:dyDescent="0.2">
      <c r="A14" s="10" t="s">
        <v>29</v>
      </c>
      <c r="B14" s="11"/>
      <c r="C14" s="11"/>
      <c r="D14" s="11"/>
      <c r="E14" s="11"/>
      <c r="F14" s="11"/>
      <c r="G14" s="11"/>
      <c r="H14" s="9" t="s">
        <v>2</v>
      </c>
      <c r="I14" s="10" t="s">
        <v>3</v>
      </c>
      <c r="J14" s="10"/>
      <c r="K14" s="9" t="s">
        <v>4</v>
      </c>
      <c r="L14" s="9"/>
      <c r="M14" s="11"/>
      <c r="N14" s="9" t="s">
        <v>5</v>
      </c>
      <c r="O14" s="9" t="s">
        <v>6</v>
      </c>
      <c r="P14" s="12" t="s">
        <v>7</v>
      </c>
    </row>
    <row r="15" spans="1:16" x14ac:dyDescent="0.2">
      <c r="A15" s="24" t="s">
        <v>86</v>
      </c>
      <c r="E15">
        <v>2660</v>
      </c>
      <c r="F15" t="s">
        <v>1</v>
      </c>
      <c r="H15" s="83">
        <v>1</v>
      </c>
      <c r="I15" t="s">
        <v>96</v>
      </c>
      <c r="K15" s="85" t="s">
        <v>12</v>
      </c>
      <c r="L15" s="85"/>
      <c r="N15" s="4">
        <f>ROUND(E15*E17/9,-2)</f>
        <v>1800</v>
      </c>
      <c r="O15" s="56">
        <v>56</v>
      </c>
      <c r="P15" s="7">
        <f>ROUND(N15*O15,-3)</f>
        <v>101000</v>
      </c>
    </row>
    <row r="16" spans="1:16" x14ac:dyDescent="0.2">
      <c r="A16" t="s">
        <v>94</v>
      </c>
      <c r="H16" s="83">
        <f>H15+1</f>
        <v>2</v>
      </c>
      <c r="I16" t="s">
        <v>89</v>
      </c>
      <c r="K16" s="83" t="s">
        <v>12</v>
      </c>
      <c r="L16" s="83"/>
      <c r="N16" s="4">
        <f>ROUND(E15*E18/9,-2)</f>
        <v>7700</v>
      </c>
      <c r="O16" s="56">
        <v>8.24</v>
      </c>
      <c r="P16" s="7">
        <f>ROUND(N16*O16,-3)</f>
        <v>63000</v>
      </c>
    </row>
    <row r="17" spans="1:16" x14ac:dyDescent="0.2">
      <c r="B17" t="s">
        <v>97</v>
      </c>
      <c r="E17">
        <v>6</v>
      </c>
      <c r="F17" t="s">
        <v>1</v>
      </c>
      <c r="H17" s="83">
        <f>H16+1</f>
        <v>3</v>
      </c>
      <c r="I17" t="s">
        <v>95</v>
      </c>
      <c r="K17" s="85" t="s">
        <v>12</v>
      </c>
      <c r="L17" s="85"/>
      <c r="N17" s="4">
        <f>ROUND(E15*E19/9,-2)</f>
        <v>3000</v>
      </c>
      <c r="O17" s="56">
        <v>24</v>
      </c>
      <c r="P17" s="7">
        <f>ROUND(N17*O17,-3)</f>
        <v>72000</v>
      </c>
    </row>
    <row r="18" spans="1:16" x14ac:dyDescent="0.2">
      <c r="B18" t="s">
        <v>89</v>
      </c>
      <c r="E18">
        <v>26</v>
      </c>
      <c r="F18" t="s">
        <v>1</v>
      </c>
      <c r="H18" s="85">
        <f t="shared" ref="H18:H19" si="0">H17+1</f>
        <v>4</v>
      </c>
      <c r="I18" t="s">
        <v>8</v>
      </c>
      <c r="K18" s="83" t="s">
        <v>9</v>
      </c>
      <c r="L18" s="83"/>
      <c r="N18" s="4">
        <f>E30</f>
        <v>4200</v>
      </c>
      <c r="O18" s="56">
        <v>20</v>
      </c>
      <c r="P18" s="7">
        <f>ROUND(N18*O18,-3)</f>
        <v>84000</v>
      </c>
    </row>
    <row r="19" spans="1:16" x14ac:dyDescent="0.2">
      <c r="B19" t="s">
        <v>95</v>
      </c>
      <c r="E19">
        <v>10</v>
      </c>
      <c r="F19" t="s">
        <v>1</v>
      </c>
      <c r="H19" s="85">
        <f t="shared" si="0"/>
        <v>5</v>
      </c>
      <c r="I19" s="24" t="s">
        <v>192</v>
      </c>
      <c r="K19" s="144" t="s">
        <v>11</v>
      </c>
      <c r="L19" s="144"/>
      <c r="N19" s="4">
        <f>(E15)</f>
        <v>2660</v>
      </c>
      <c r="O19" s="56">
        <v>20</v>
      </c>
      <c r="P19" s="7">
        <f>ROUND(N19*O19,-3)</f>
        <v>53000</v>
      </c>
    </row>
    <row r="21" spans="1:16" x14ac:dyDescent="0.2">
      <c r="A21" t="s">
        <v>87</v>
      </c>
      <c r="D21" t="s">
        <v>204</v>
      </c>
      <c r="H21" s="85">
        <f>H19+1</f>
        <v>6</v>
      </c>
      <c r="I21" s="24" t="s">
        <v>83</v>
      </c>
      <c r="K21" s="83" t="s">
        <v>32</v>
      </c>
      <c r="L21" s="83"/>
      <c r="N21" s="4">
        <v>0</v>
      </c>
      <c r="O21" s="6">
        <v>300000</v>
      </c>
      <c r="P21" s="7">
        <f>ROUND(N21*O21,-3)</f>
        <v>0</v>
      </c>
    </row>
    <row r="22" spans="1:16" x14ac:dyDescent="0.2">
      <c r="D22" t="s">
        <v>205</v>
      </c>
      <c r="H22" s="83">
        <f t="shared" ref="H22:H28" si="1">H21+1</f>
        <v>7</v>
      </c>
      <c r="I22" s="24" t="s">
        <v>90</v>
      </c>
      <c r="K22" s="83" t="s">
        <v>14</v>
      </c>
      <c r="L22" s="8">
        <v>0.3</v>
      </c>
      <c r="M22" s="24" t="s">
        <v>99</v>
      </c>
      <c r="O22" s="5" t="s">
        <v>15</v>
      </c>
      <c r="P22" s="7">
        <f t="shared" ref="P22:P28" si="2">ROUND(SUM(P$15:P$19)*L22,-3)</f>
        <v>112000</v>
      </c>
    </row>
    <row r="23" spans="1:16" x14ac:dyDescent="0.2">
      <c r="H23" s="83">
        <f t="shared" si="1"/>
        <v>8</v>
      </c>
      <c r="I23" t="s">
        <v>13</v>
      </c>
      <c r="K23" s="83" t="s">
        <v>14</v>
      </c>
      <c r="L23" s="8">
        <v>0.3</v>
      </c>
      <c r="M23" s="24" t="s">
        <v>99</v>
      </c>
      <c r="O23" s="5" t="s">
        <v>15</v>
      </c>
      <c r="P23" s="7">
        <f t="shared" si="2"/>
        <v>112000</v>
      </c>
    </row>
    <row r="24" spans="1:16" x14ac:dyDescent="0.2">
      <c r="A24" t="s">
        <v>8</v>
      </c>
      <c r="H24" s="83">
        <f t="shared" si="1"/>
        <v>9</v>
      </c>
      <c r="I24" t="s">
        <v>16</v>
      </c>
      <c r="K24" s="83" t="s">
        <v>14</v>
      </c>
      <c r="L24" s="8">
        <v>0.15</v>
      </c>
      <c r="M24" s="24" t="s">
        <v>99</v>
      </c>
      <c r="O24" s="5" t="s">
        <v>15</v>
      </c>
      <c r="P24" s="7">
        <f t="shared" si="2"/>
        <v>56000</v>
      </c>
    </row>
    <row r="25" spans="1:16" x14ac:dyDescent="0.2">
      <c r="B25" s="21" t="s">
        <v>25</v>
      </c>
      <c r="C25" s="21"/>
      <c r="D25" s="21"/>
      <c r="E25" s="21">
        <f>E15</f>
        <v>2660</v>
      </c>
      <c r="F25" s="21" t="s">
        <v>1</v>
      </c>
      <c r="H25" s="83">
        <f t="shared" si="1"/>
        <v>10</v>
      </c>
      <c r="I25" t="s">
        <v>17</v>
      </c>
      <c r="K25" s="83" t="s">
        <v>14</v>
      </c>
      <c r="L25" s="8">
        <v>0.3</v>
      </c>
      <c r="M25" s="24" t="s">
        <v>99</v>
      </c>
      <c r="O25" s="5" t="s">
        <v>15</v>
      </c>
      <c r="P25" s="7">
        <f t="shared" si="2"/>
        <v>112000</v>
      </c>
    </row>
    <row r="26" spans="1:16" x14ac:dyDescent="0.2">
      <c r="B26" s="24" t="s">
        <v>98</v>
      </c>
      <c r="E26">
        <v>27</v>
      </c>
      <c r="F26" t="s">
        <v>1</v>
      </c>
      <c r="H26" s="83">
        <f t="shared" si="1"/>
        <v>11</v>
      </c>
      <c r="I26" t="s">
        <v>18</v>
      </c>
      <c r="K26" s="83" t="s">
        <v>14</v>
      </c>
      <c r="L26" s="32">
        <v>1.4999999999999999E-2</v>
      </c>
      <c r="M26" s="24" t="s">
        <v>99</v>
      </c>
      <c r="O26" s="5" t="s">
        <v>15</v>
      </c>
      <c r="P26" s="7">
        <f t="shared" si="2"/>
        <v>6000</v>
      </c>
    </row>
    <row r="27" spans="1:16" x14ac:dyDescent="0.2">
      <c r="B27" t="s">
        <v>61</v>
      </c>
      <c r="E27">
        <f>E26+(4*E28*3+4)</f>
        <v>43</v>
      </c>
      <c r="F27" t="s">
        <v>1</v>
      </c>
      <c r="H27" s="83">
        <f t="shared" si="1"/>
        <v>12</v>
      </c>
      <c r="I27" t="s">
        <v>31</v>
      </c>
      <c r="K27" s="83" t="s">
        <v>14</v>
      </c>
      <c r="L27" s="8">
        <v>0</v>
      </c>
      <c r="M27" s="24" t="s">
        <v>99</v>
      </c>
      <c r="O27" s="5" t="s">
        <v>15</v>
      </c>
      <c r="P27" s="7">
        <f t="shared" si="2"/>
        <v>0</v>
      </c>
    </row>
    <row r="28" spans="1:16" x14ac:dyDescent="0.2">
      <c r="B28" t="s">
        <v>62</v>
      </c>
      <c r="E28" s="14">
        <v>1</v>
      </c>
      <c r="F28" t="s">
        <v>1</v>
      </c>
      <c r="H28" s="83">
        <f t="shared" si="1"/>
        <v>13</v>
      </c>
      <c r="I28" t="s">
        <v>19</v>
      </c>
      <c r="K28" s="83" t="s">
        <v>14</v>
      </c>
      <c r="L28" s="8">
        <v>0.3</v>
      </c>
      <c r="M28" s="24" t="s">
        <v>99</v>
      </c>
      <c r="O28" s="5" t="s">
        <v>15</v>
      </c>
      <c r="P28" s="7">
        <f t="shared" si="2"/>
        <v>112000</v>
      </c>
    </row>
    <row r="29" spans="1:16" x14ac:dyDescent="0.2">
      <c r="B29" t="s">
        <v>63</v>
      </c>
      <c r="E29">
        <f>E27*E28</f>
        <v>43</v>
      </c>
      <c r="F29" t="s">
        <v>10</v>
      </c>
      <c r="M29" s="24" t="s">
        <v>22</v>
      </c>
    </row>
    <row r="30" spans="1:16" x14ac:dyDescent="0.2">
      <c r="B30" t="s">
        <v>64</v>
      </c>
      <c r="E30" s="54">
        <f>ROUND((E29*E25)/27,-2)</f>
        <v>4200</v>
      </c>
      <c r="F30" s="53" t="s">
        <v>9</v>
      </c>
      <c r="H30" s="83">
        <f>H28+1</f>
        <v>14</v>
      </c>
      <c r="I30" t="s">
        <v>20</v>
      </c>
      <c r="K30" s="83" t="s">
        <v>14</v>
      </c>
      <c r="L30" s="8">
        <v>0.15</v>
      </c>
      <c r="M30" s="24" t="s">
        <v>99</v>
      </c>
      <c r="O30" s="5" t="s">
        <v>15</v>
      </c>
      <c r="P30" s="7">
        <f>ROUND(SUM(P$15:P$19)*L30,-3)</f>
        <v>56000</v>
      </c>
    </row>
    <row r="31" spans="1:16" x14ac:dyDescent="0.2">
      <c r="B31" s="24"/>
    </row>
    <row r="32" spans="1:16" x14ac:dyDescent="0.2">
      <c r="H32" s="83">
        <f>H30+1</f>
        <v>15</v>
      </c>
      <c r="I32" t="s">
        <v>36</v>
      </c>
      <c r="K32" s="83" t="s">
        <v>14</v>
      </c>
      <c r="L32" s="8">
        <v>0.15</v>
      </c>
      <c r="M32" s="24" t="s">
        <v>100</v>
      </c>
      <c r="O32" s="5" t="s">
        <v>15</v>
      </c>
      <c r="P32" s="7">
        <f>ROUND(SUM(P15:P30)*L32,-3)</f>
        <v>141000</v>
      </c>
    </row>
    <row r="33" spans="1:18" x14ac:dyDescent="0.2">
      <c r="L33" s="8"/>
      <c r="O33" s="5"/>
      <c r="P33" s="7"/>
    </row>
    <row r="34" spans="1:18" x14ac:dyDescent="0.2">
      <c r="A34" t="s">
        <v>27</v>
      </c>
      <c r="E34" t="s">
        <v>22</v>
      </c>
      <c r="F34" t="s">
        <v>22</v>
      </c>
      <c r="H34" s="83">
        <f>H32+1</f>
        <v>16</v>
      </c>
      <c r="I34" t="s">
        <v>28</v>
      </c>
      <c r="K34" s="83" t="s">
        <v>24</v>
      </c>
      <c r="M34" s="24" t="s">
        <v>22</v>
      </c>
      <c r="N34" s="15">
        <f>E39</f>
        <v>0.6</v>
      </c>
      <c r="O34" s="6">
        <v>60000</v>
      </c>
      <c r="P34" s="7">
        <f>ROUND(N34*O34,-3)</f>
        <v>36000</v>
      </c>
    </row>
    <row r="35" spans="1:18" x14ac:dyDescent="0.2">
      <c r="A35" t="s">
        <v>22</v>
      </c>
      <c r="B35" t="s">
        <v>110</v>
      </c>
      <c r="E35" s="79">
        <v>70</v>
      </c>
      <c r="F35" t="s">
        <v>1</v>
      </c>
      <c r="H35" s="83">
        <f>H34+1</f>
        <v>17</v>
      </c>
      <c r="I35" t="s">
        <v>23</v>
      </c>
      <c r="K35" s="83"/>
      <c r="O35" s="6">
        <v>0</v>
      </c>
      <c r="P35" s="7">
        <f>ROUND(N35*O35,-3)</f>
        <v>0</v>
      </c>
    </row>
    <row r="36" spans="1:18" x14ac:dyDescent="0.2">
      <c r="B36" t="s">
        <v>70</v>
      </c>
      <c r="E36">
        <v>70</v>
      </c>
      <c r="F36" t="s">
        <v>1</v>
      </c>
      <c r="H36" s="83">
        <f>H35+1</f>
        <v>18</v>
      </c>
      <c r="I36" s="24" t="s">
        <v>72</v>
      </c>
      <c r="K36" s="83" t="s">
        <v>11</v>
      </c>
      <c r="N36" s="4">
        <f>E15</f>
        <v>2660</v>
      </c>
      <c r="O36" s="6">
        <v>25</v>
      </c>
      <c r="P36" s="7">
        <f>ROUND(N36*O36,-3)</f>
        <v>67000</v>
      </c>
    </row>
    <row r="37" spans="1:18" x14ac:dyDescent="0.2">
      <c r="B37" t="s">
        <v>69</v>
      </c>
      <c r="E37">
        <v>80</v>
      </c>
      <c r="F37" t="s">
        <v>1</v>
      </c>
    </row>
    <row r="38" spans="1:18" x14ac:dyDescent="0.2">
      <c r="B38" t="s">
        <v>25</v>
      </c>
      <c r="E38">
        <f>E15</f>
        <v>2660</v>
      </c>
      <c r="F38" t="s">
        <v>1</v>
      </c>
      <c r="H38" s="13">
        <f>H36+1</f>
        <v>19</v>
      </c>
      <c r="I38" s="11" t="s">
        <v>21</v>
      </c>
      <c r="J38" s="11"/>
      <c r="K38" s="13" t="s">
        <v>14</v>
      </c>
      <c r="L38" s="16">
        <v>0.3</v>
      </c>
      <c r="M38" s="57" t="s">
        <v>101</v>
      </c>
      <c r="N38" s="11"/>
      <c r="O38" s="17" t="s">
        <v>15</v>
      </c>
      <c r="P38" s="18">
        <f>ROUND(SUM(P15:P36)*L38,-4)</f>
        <v>350000</v>
      </c>
    </row>
    <row r="39" spans="1:18" ht="15" x14ac:dyDescent="0.25">
      <c r="B39" t="s">
        <v>65</v>
      </c>
      <c r="E39" s="14">
        <f>ROUND(((E37-E35)*E38)/43560,1)</f>
        <v>0.6</v>
      </c>
      <c r="F39" t="s">
        <v>24</v>
      </c>
      <c r="H39" s="28" t="s">
        <v>41</v>
      </c>
      <c r="I39" s="20"/>
      <c r="J39" s="20"/>
      <c r="K39" s="83"/>
      <c r="P39" s="26">
        <f>ROUND(SUM(P15:P38),-4)</f>
        <v>1530000</v>
      </c>
    </row>
    <row r="40" spans="1:18" x14ac:dyDescent="0.2">
      <c r="E40" s="14"/>
    </row>
    <row r="41" spans="1:18" ht="15.75" x14ac:dyDescent="0.25">
      <c r="A41" s="29" t="s">
        <v>40</v>
      </c>
      <c r="E41" s="14"/>
      <c r="H41" s="83" t="s">
        <v>42</v>
      </c>
      <c r="I41" s="24" t="s">
        <v>67</v>
      </c>
      <c r="L41" s="8">
        <v>0.2</v>
      </c>
      <c r="M41" t="s">
        <v>37</v>
      </c>
      <c r="O41" s="24"/>
      <c r="P41" s="7">
        <f>ROUND((P32)*L41,-3)</f>
        <v>28000</v>
      </c>
      <c r="Q41" s="147" t="s">
        <v>48</v>
      </c>
      <c r="R41" s="147"/>
    </row>
    <row r="42" spans="1:18" x14ac:dyDescent="0.2">
      <c r="H42" s="83" t="s">
        <v>43</v>
      </c>
      <c r="I42" s="24" t="s">
        <v>36</v>
      </c>
      <c r="J42" s="24"/>
      <c r="K42" s="24"/>
      <c r="L42" s="24"/>
      <c r="M42" s="24"/>
      <c r="N42" s="24"/>
      <c r="O42" s="24"/>
      <c r="P42" s="25">
        <f>P32</f>
        <v>141000</v>
      </c>
      <c r="Q42" s="147" t="s">
        <v>48</v>
      </c>
      <c r="R42" s="147"/>
    </row>
    <row r="43" spans="1:18" x14ac:dyDescent="0.2">
      <c r="A43" s="19" t="s">
        <v>26</v>
      </c>
      <c r="B43" t="s">
        <v>88</v>
      </c>
      <c r="H43" s="83" t="s">
        <v>44</v>
      </c>
      <c r="I43" s="24" t="s">
        <v>73</v>
      </c>
      <c r="J43" s="24"/>
      <c r="K43" s="24"/>
      <c r="L43" s="24"/>
      <c r="M43" s="24"/>
      <c r="N43" s="24"/>
      <c r="O43" s="24"/>
      <c r="P43" s="25">
        <f>ROUND((P34+P35+P36),-3)</f>
        <v>103000</v>
      </c>
      <c r="Q43" s="147" t="s">
        <v>48</v>
      </c>
      <c r="R43" s="147"/>
    </row>
    <row r="44" spans="1:18" x14ac:dyDescent="0.2">
      <c r="A44" s="19"/>
      <c r="H44" s="83" t="s">
        <v>45</v>
      </c>
      <c r="I44" s="24" t="s">
        <v>33</v>
      </c>
      <c r="J44" s="24"/>
      <c r="K44" s="24"/>
      <c r="L44" s="24"/>
      <c r="M44" s="24"/>
      <c r="N44" s="24"/>
      <c r="O44" s="24"/>
      <c r="P44" s="25">
        <f>ROUND(SUM(P15:P30),-3)</f>
        <v>939000</v>
      </c>
      <c r="Q44" s="147" t="s">
        <v>48</v>
      </c>
      <c r="R44" s="147"/>
    </row>
    <row r="45" spans="1:18" x14ac:dyDescent="0.2">
      <c r="H45" s="30" t="s">
        <v>46</v>
      </c>
      <c r="I45" s="21" t="s">
        <v>34</v>
      </c>
      <c r="J45" s="21"/>
      <c r="K45" s="21"/>
      <c r="L45" s="22">
        <v>7.0000000000000007E-2</v>
      </c>
      <c r="M45" s="21" t="s">
        <v>38</v>
      </c>
      <c r="N45" s="21"/>
      <c r="O45" s="21"/>
      <c r="P45" s="23">
        <f>ROUND(P44*L45,-3)</f>
        <v>66000</v>
      </c>
      <c r="Q45" s="147" t="s">
        <v>48</v>
      </c>
      <c r="R45" s="147"/>
    </row>
    <row r="46" spans="1:18" x14ac:dyDescent="0.2">
      <c r="H46" s="13" t="s">
        <v>47</v>
      </c>
      <c r="I46" s="31" t="s">
        <v>21</v>
      </c>
      <c r="J46" s="11"/>
      <c r="K46" s="11"/>
      <c r="L46" s="16">
        <f>L38</f>
        <v>0.3</v>
      </c>
      <c r="M46" s="57" t="s">
        <v>49</v>
      </c>
      <c r="N46" s="11"/>
      <c r="O46" s="11"/>
      <c r="P46" s="18">
        <f>ROUND(SUM(P41:P45)*L46,-4)</f>
        <v>380000</v>
      </c>
    </row>
    <row r="48" spans="1:18" ht="15.75" x14ac:dyDescent="0.25">
      <c r="H48" s="2" t="s">
        <v>39</v>
      </c>
      <c r="O48" s="145">
        <f>ROUND(SUM(P41:P46),-4)</f>
        <v>1660000</v>
      </c>
      <c r="P48" s="145"/>
    </row>
  </sheetData>
  <mergeCells count="7">
    <mergeCell ref="O48:P48"/>
    <mergeCell ref="A8:C8"/>
    <mergeCell ref="Q41:R41"/>
    <mergeCell ref="Q42:R42"/>
    <mergeCell ref="Q43:R43"/>
    <mergeCell ref="Q44:R44"/>
    <mergeCell ref="Q45:R45"/>
  </mergeCells>
  <pageMargins left="0.75" right="0.75" top="1" bottom="1" header="0.5" footer="0.5"/>
  <pageSetup paperSize="17" scale="70" orientation="landscape" r:id="rId1"/>
  <headerFooter alignWithMargins="0">
    <oddFooter>&amp;A</oddFooter>
  </headerFooter>
  <ignoredErrors>
    <ignoredError sqref="A4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61"/>
  <sheetViews>
    <sheetView topLeftCell="A13" zoomScale="120" zoomScaleNormal="120" workbookViewId="0">
      <selection activeCell="K34" sqref="K34"/>
    </sheetView>
  </sheetViews>
  <sheetFormatPr defaultRowHeight="12.75" x14ac:dyDescent="0.2"/>
  <cols>
    <col min="1" max="1" width="5.7109375" customWidth="1"/>
    <col min="2" max="2" width="30.7109375" customWidth="1"/>
    <col min="3" max="3" width="5.7109375" customWidth="1"/>
    <col min="4" max="11" width="15.7109375" customWidth="1"/>
  </cols>
  <sheetData>
    <row r="1" spans="1:12" ht="26.25" x14ac:dyDescent="0.4">
      <c r="A1" s="27" t="s">
        <v>141</v>
      </c>
      <c r="H1" s="187"/>
      <c r="I1" s="187"/>
      <c r="K1" s="43"/>
    </row>
    <row r="2" spans="1:12" ht="20.25" x14ac:dyDescent="0.3">
      <c r="A2" s="91" t="s">
        <v>140</v>
      </c>
      <c r="K2" s="44"/>
    </row>
    <row r="3" spans="1:12" ht="23.25" x14ac:dyDescent="0.35">
      <c r="A3" s="34"/>
      <c r="K3" s="44"/>
    </row>
    <row r="4" spans="1:12" ht="20.25" x14ac:dyDescent="0.3">
      <c r="A4" s="1" t="s">
        <v>194</v>
      </c>
      <c r="K4" s="44"/>
    </row>
    <row r="5" spans="1:12" ht="14.25" x14ac:dyDescent="0.2">
      <c r="K5" s="44"/>
    </row>
    <row r="6" spans="1:12" ht="15.75" x14ac:dyDescent="0.2">
      <c r="A6" s="185">
        <f ca="1">TODAY()</f>
        <v>44498</v>
      </c>
      <c r="B6" s="185"/>
      <c r="C6" s="185"/>
      <c r="D6" s="185"/>
      <c r="E6" s="185"/>
      <c r="F6" s="185"/>
      <c r="G6" s="141"/>
      <c r="K6" s="44"/>
    </row>
    <row r="7" spans="1:12" ht="18" x14ac:dyDescent="0.25">
      <c r="A7" s="33"/>
      <c r="K7" s="44"/>
    </row>
    <row r="8" spans="1:12" ht="14.25" customHeight="1" x14ac:dyDescent="0.25">
      <c r="A8" s="33"/>
      <c r="K8" s="44"/>
    </row>
    <row r="9" spans="1:12" ht="15" x14ac:dyDescent="0.25">
      <c r="C9" s="35"/>
      <c r="D9" s="36" t="s">
        <v>56</v>
      </c>
      <c r="E9" s="51">
        <v>2.7199999999999998E-2</v>
      </c>
      <c r="F9" s="51"/>
      <c r="G9" s="51"/>
    </row>
    <row r="10" spans="1:12" ht="15" x14ac:dyDescent="0.25">
      <c r="C10" s="35"/>
      <c r="D10" s="45" t="s">
        <v>71</v>
      </c>
      <c r="E10" s="51"/>
      <c r="F10" s="51"/>
      <c r="G10" s="51"/>
    </row>
    <row r="11" spans="1:12" ht="18" x14ac:dyDescent="0.25">
      <c r="A11" s="33" t="s">
        <v>50</v>
      </c>
      <c r="C11" s="39"/>
      <c r="D11" s="45">
        <v>2020</v>
      </c>
      <c r="E11" s="50">
        <v>2022</v>
      </c>
      <c r="F11" s="50">
        <f>E11+1</f>
        <v>2023</v>
      </c>
      <c r="G11" s="50">
        <f>F11+1</f>
        <v>2024</v>
      </c>
      <c r="H11" s="50">
        <f>G11+1</f>
        <v>2025</v>
      </c>
      <c r="I11" s="50">
        <f>H11+1</f>
        <v>2026</v>
      </c>
      <c r="J11" s="50">
        <f>I11+1</f>
        <v>2027</v>
      </c>
      <c r="K11" s="50" t="s">
        <v>7</v>
      </c>
    </row>
    <row r="12" spans="1:12" ht="15.75" x14ac:dyDescent="0.25">
      <c r="A12" s="2" t="s">
        <v>51</v>
      </c>
      <c r="C12" s="39"/>
      <c r="D12" s="47"/>
      <c r="E12" s="35"/>
      <c r="F12" s="35"/>
      <c r="G12" s="35"/>
      <c r="H12" s="35"/>
      <c r="I12" s="35"/>
      <c r="J12" s="35"/>
      <c r="K12" s="35"/>
      <c r="L12" s="35"/>
    </row>
    <row r="13" spans="1:12" ht="14.25" customHeight="1" x14ac:dyDescent="0.2">
      <c r="B13" s="35" t="s">
        <v>68</v>
      </c>
      <c r="C13" s="40"/>
      <c r="D13" s="46">
        <f>'Lightner - 2-Lane Resurfacing'!P41+'Lightner - 3-Lane Widening'!P42+'N Dixie - 3-Lane Resurfacing'!P40+'N Dixie - 3-Lane Widening'!P43+'N Dixie - SB Resurfacing'!P39+'N Dixie - NB Widening'!P45+'Northwoods Blvd'!P42</f>
        <v>267000</v>
      </c>
      <c r="E13" s="37">
        <f>D13</f>
        <v>267000</v>
      </c>
      <c r="F13" s="37"/>
      <c r="G13" s="37"/>
      <c r="H13" s="35"/>
      <c r="I13" s="35"/>
      <c r="J13" s="35"/>
      <c r="K13" s="35"/>
      <c r="L13" s="35"/>
    </row>
    <row r="14" spans="1:12" ht="14.25" x14ac:dyDescent="0.2">
      <c r="B14" s="35" t="s">
        <v>36</v>
      </c>
      <c r="C14" s="40"/>
      <c r="D14" s="46">
        <f>'Lightner - 2-Lane Resurfacing'!P42+'Lightner - 3-Lane Widening'!P43+'N Dixie - 3-Lane Resurfacing'!P41+'N Dixie - 3-Lane Widening'!P44+'N Dixie - SB Resurfacing'!P40+'N Dixie - NB Widening'!P46+'Northwoods Blvd'!P43</f>
        <v>1341000</v>
      </c>
      <c r="E14" s="37">
        <f>ROUND((D13+D14)*0.4-E13,-3)</f>
        <v>376000</v>
      </c>
      <c r="F14" s="37">
        <f>D14-E14</f>
        <v>965000</v>
      </c>
      <c r="G14" s="37"/>
      <c r="H14" s="37"/>
      <c r="I14" s="35"/>
      <c r="J14" s="35"/>
      <c r="K14" s="35"/>
      <c r="L14" s="35"/>
    </row>
    <row r="15" spans="1:12" ht="14.25" x14ac:dyDescent="0.2">
      <c r="B15" s="35" t="s">
        <v>58</v>
      </c>
      <c r="D15" s="46">
        <f>C16*6000</f>
        <v>300000</v>
      </c>
      <c r="E15" s="35"/>
      <c r="F15" s="35"/>
      <c r="G15" s="35"/>
      <c r="H15" s="37">
        <f>D15</f>
        <v>300000</v>
      </c>
      <c r="I15" s="37"/>
      <c r="J15" s="35"/>
      <c r="K15" s="35"/>
      <c r="L15" s="35"/>
    </row>
    <row r="16" spans="1:12" ht="14.25" x14ac:dyDescent="0.2">
      <c r="B16" s="36" t="s">
        <v>183</v>
      </c>
      <c r="C16" s="52">
        <v>50</v>
      </c>
      <c r="D16" s="46"/>
      <c r="E16" s="35"/>
      <c r="F16" s="35"/>
      <c r="G16" s="35"/>
      <c r="H16" s="35"/>
      <c r="I16" s="35"/>
      <c r="J16" s="35"/>
      <c r="K16" s="35"/>
      <c r="L16" s="35"/>
    </row>
    <row r="17" spans="1:24" ht="14.25" x14ac:dyDescent="0.2">
      <c r="K17" s="35"/>
      <c r="L17" s="35"/>
    </row>
    <row r="18" spans="1:24" ht="15.75" x14ac:dyDescent="0.25">
      <c r="A18" s="2" t="s">
        <v>35</v>
      </c>
      <c r="C18" s="40"/>
      <c r="J18" s="35"/>
      <c r="K18" s="35"/>
      <c r="L18" s="35"/>
    </row>
    <row r="19" spans="1:24" ht="15.75" x14ac:dyDescent="0.25">
      <c r="A19" s="2"/>
      <c r="B19" s="35" t="s">
        <v>35</v>
      </c>
      <c r="C19" s="40"/>
      <c r="D19" s="46">
        <f>'Lightner - 2-Lane Resurfacing'!P34+'Lightner - 3-Lane Widening'!P35+'N Dixie - 3-Lane Resurfacing'!P33+'N Dixie - 3-Lane Widening'!P36+'N Dixie - SB Resurfacing'!P32+'N Dixie - NB Widening'!P38+'Northwoods Blvd'!P35</f>
        <v>216000</v>
      </c>
      <c r="E19" s="35"/>
      <c r="F19" s="35"/>
      <c r="G19" s="35"/>
      <c r="H19" s="37"/>
      <c r="I19" s="37">
        <f>$D19*(1+$E$9)^(I$11-$D$11)</f>
        <v>253737.00859889298</v>
      </c>
      <c r="J19" s="35"/>
      <c r="K19" s="35"/>
      <c r="L19" s="35"/>
    </row>
    <row r="20" spans="1:24" ht="15.75" x14ac:dyDescent="0.25">
      <c r="A20" s="2"/>
      <c r="B20" s="35" t="s">
        <v>80</v>
      </c>
      <c r="C20" s="40"/>
      <c r="D20" s="46">
        <f>'Lightner - 2-Lane Resurfacing'!P36+'Lightner - 3-Lane Widening'!P37+'N Dixie - 3-Lane Resurfacing'!P35+'N Dixie - 3-Lane Widening'!P38+'N Dixie - SB Resurfacing'!P34+'N Dixie - NB Widening'!P40+'Northwoods Blvd'!P37</f>
        <v>614000</v>
      </c>
      <c r="E20" s="35"/>
      <c r="F20" s="35"/>
      <c r="G20" s="35"/>
      <c r="H20" s="37"/>
      <c r="I20" s="37">
        <f>$D20*(1+$E$9)^(I$11-$D$11)</f>
        <v>721270.94110981608</v>
      </c>
      <c r="J20" s="35"/>
      <c r="K20" s="35"/>
      <c r="L20" s="35"/>
    </row>
    <row r="21" spans="1:24" ht="15.75" x14ac:dyDescent="0.25">
      <c r="A21" s="2"/>
      <c r="B21" s="35"/>
      <c r="C21" s="40"/>
      <c r="D21" s="46"/>
      <c r="E21" s="35"/>
      <c r="F21" s="35"/>
      <c r="G21" s="35"/>
      <c r="H21" s="37"/>
      <c r="I21" s="37"/>
      <c r="J21" s="35"/>
      <c r="K21" s="35"/>
      <c r="L21" s="35"/>
    </row>
    <row r="22" spans="1:24" ht="15.75" x14ac:dyDescent="0.25">
      <c r="A22" s="2" t="s">
        <v>33</v>
      </c>
      <c r="C22" s="40"/>
      <c r="D22" s="46">
        <f>'Lightner - 2-Lane Resurfacing'!P44+'Lightner - 3-Lane Widening'!P45+'N Dixie - 3-Lane Resurfacing'!P43+'N Dixie - 3-Lane Widening'!P46+'N Dixie - SB Resurfacing'!P42+'N Dixie - NB Widening'!P48+'Northwoods Blvd'!P45</f>
        <v>8941000</v>
      </c>
      <c r="E22" s="35"/>
      <c r="F22" s="35"/>
      <c r="G22" s="35"/>
      <c r="H22" s="35"/>
      <c r="I22" s="35"/>
      <c r="J22" s="37">
        <f>$D22*(1+$E$9)^(J$11-$D$11)</f>
        <v>10788751.00201996</v>
      </c>
      <c r="K22" s="35"/>
      <c r="L22" s="35"/>
    </row>
    <row r="23" spans="1:24" ht="14.25" x14ac:dyDescent="0.2">
      <c r="C23" s="40"/>
      <c r="E23" s="35"/>
      <c r="F23" s="35"/>
      <c r="G23" s="35"/>
      <c r="H23" s="35"/>
      <c r="I23" s="35"/>
      <c r="J23" s="35"/>
      <c r="K23" s="35"/>
      <c r="L23" s="35"/>
    </row>
    <row r="24" spans="1:24" ht="15.75" x14ac:dyDescent="0.25">
      <c r="A24" s="2" t="s">
        <v>52</v>
      </c>
      <c r="C24" s="40"/>
      <c r="D24" s="46">
        <f>'Lightner - 2-Lane Resurfacing'!P45+'Lightner - 3-Lane Widening'!P46+'N Dixie - 3-Lane Resurfacing'!P44+'N Dixie - 3-Lane Widening'!P47+'N Dixie - SB Resurfacing'!P43+'N Dixie - NB Widening'!P49+'Northwoods Blvd'!P46</f>
        <v>626000</v>
      </c>
      <c r="E24" s="35"/>
      <c r="F24" s="35"/>
      <c r="G24" s="35"/>
      <c r="H24" s="35"/>
      <c r="I24" s="37"/>
      <c r="J24" s="37">
        <f>$D24*(1+$E$9)^(J$11-$D$11)</f>
        <v>755369.43599871325</v>
      </c>
      <c r="K24" s="35"/>
      <c r="L24" s="35"/>
    </row>
    <row r="25" spans="1:24" ht="14.25" x14ac:dyDescent="0.2">
      <c r="C25" s="40"/>
      <c r="E25" s="35"/>
      <c r="F25" s="35"/>
      <c r="G25" s="35"/>
      <c r="H25" s="35"/>
      <c r="I25" s="35"/>
      <c r="J25" s="35"/>
      <c r="K25" s="35"/>
      <c r="L25" s="35"/>
    </row>
    <row r="26" spans="1:24" ht="15.75" x14ac:dyDescent="0.25">
      <c r="A26" s="2" t="s">
        <v>21</v>
      </c>
      <c r="C26" s="40">
        <f>'Lightner - 2-Lane Resurfacing'!L46</f>
        <v>0.3</v>
      </c>
      <c r="D26" s="46">
        <f>'Lightner - 2-Lane Resurfacing'!P46+'Lightner - 3-Lane Widening'!P47+'N Dixie - 3-Lane Resurfacing'!P45+'N Dixie - 3-Lane Widening'!P48+'N Dixie - SB Resurfacing'!P44+'N Dixie - NB Widening'!P50+'Northwoods Blvd'!P47+D15*C26</f>
        <v>3690000</v>
      </c>
      <c r="E26" s="37">
        <f>ROUND($C26*SUM(E13:E24),-3)</f>
        <v>193000</v>
      </c>
      <c r="F26" s="37">
        <f>ROUND($C26*SUM(F13:F24),-3)</f>
        <v>290000</v>
      </c>
      <c r="G26" s="37"/>
      <c r="H26" s="37">
        <f>ROUND($C26*SUM(H13:H24),-3)</f>
        <v>90000</v>
      </c>
      <c r="I26" s="37">
        <f>ROUND($C26*SUM(I13:I24),-3)</f>
        <v>293000</v>
      </c>
      <c r="J26" s="37">
        <f>ROUND($C26*SUM(J13:J24),-3)</f>
        <v>3463000</v>
      </c>
      <c r="K26" s="35"/>
      <c r="L26" s="35"/>
    </row>
    <row r="27" spans="1:24" ht="14.25" x14ac:dyDescent="0.2">
      <c r="C27" s="40"/>
      <c r="D27" s="47"/>
      <c r="E27" s="35"/>
      <c r="F27" s="35"/>
      <c r="G27" s="35"/>
      <c r="H27" s="35"/>
      <c r="I27" s="35"/>
      <c r="J27" s="35"/>
      <c r="K27" s="35"/>
      <c r="L27" s="35"/>
    </row>
    <row r="28" spans="1:24" ht="18" x14ac:dyDescent="0.25">
      <c r="A28" s="33" t="s">
        <v>53</v>
      </c>
      <c r="C28" s="40"/>
      <c r="D28" s="48">
        <f>SUM(D13:D26)</f>
        <v>15995000</v>
      </c>
      <c r="E28" s="41">
        <f>ROUND(SUM(E13:E26),-3)</f>
        <v>836000</v>
      </c>
      <c r="F28" s="41">
        <f>ROUND(SUM(F13:F26),-3)</f>
        <v>1255000</v>
      </c>
      <c r="G28" s="41"/>
      <c r="H28" s="41">
        <f>SUM(H13:H26)</f>
        <v>390000</v>
      </c>
      <c r="I28" s="41">
        <f>SUM(I13:I26)</f>
        <v>1268007.949708709</v>
      </c>
      <c r="J28" s="41">
        <f>SUM(J13:J26)</f>
        <v>15007120.438018674</v>
      </c>
      <c r="K28" s="42">
        <f>SUM(E28:J28)</f>
        <v>18756128.387727384</v>
      </c>
      <c r="L28" s="35"/>
    </row>
    <row r="29" spans="1:24" ht="14.25" customHeight="1" x14ac:dyDescent="0.25">
      <c r="A29" s="33"/>
      <c r="C29" s="40"/>
      <c r="D29" s="38"/>
      <c r="E29" s="41"/>
      <c r="F29" s="41"/>
      <c r="G29" s="41"/>
      <c r="H29" s="41"/>
      <c r="I29" s="41"/>
      <c r="J29" s="41"/>
      <c r="K29" s="42"/>
      <c r="L29" s="35"/>
    </row>
    <row r="30" spans="1:24" ht="14.25" customHeight="1" x14ac:dyDescent="0.25">
      <c r="A30" s="33"/>
      <c r="C30" s="40"/>
      <c r="D30" s="38"/>
      <c r="E30" s="41"/>
      <c r="F30" s="41"/>
      <c r="G30" s="41"/>
      <c r="H30" s="41"/>
      <c r="I30" s="41"/>
      <c r="J30" s="41"/>
      <c r="K30" s="42"/>
      <c r="L30" s="35"/>
    </row>
    <row r="31" spans="1:24" ht="18" x14ac:dyDescent="0.25">
      <c r="A31" s="33" t="s">
        <v>57</v>
      </c>
      <c r="C31" s="40"/>
      <c r="D31" s="47"/>
      <c r="E31" s="35"/>
      <c r="F31" s="35"/>
      <c r="G31" s="35"/>
      <c r="H31" s="35"/>
      <c r="I31" s="35"/>
      <c r="J31" s="35"/>
      <c r="K31" s="35"/>
      <c r="L31" s="35"/>
    </row>
    <row r="32" spans="1:24" ht="14.25" x14ac:dyDescent="0.2">
      <c r="B32" s="35" t="s">
        <v>184</v>
      </c>
      <c r="E32" s="37">
        <f>E28*$D42</f>
        <v>668800</v>
      </c>
      <c r="F32" s="37">
        <f>IF((E28+F28)&gt;2000000, 1600000-E32,F28*$D43)</f>
        <v>931200</v>
      </c>
      <c r="K32" s="46">
        <f>SUM(E32:J32)</f>
        <v>1600000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ht="14.25" x14ac:dyDescent="0.2">
      <c r="B33" s="35" t="s">
        <v>54</v>
      </c>
      <c r="C33" s="40"/>
      <c r="E33" s="37">
        <f>E28*$E42</f>
        <v>117039.99999999997</v>
      </c>
      <c r="F33" s="37">
        <f>(F28-F32)*'Jurisdictional Limits'!U12</f>
        <v>226660</v>
      </c>
      <c r="G33" s="37"/>
      <c r="H33" s="37"/>
      <c r="I33" s="37"/>
      <c r="J33" s="37"/>
      <c r="K33" s="46">
        <f>SUM(E33:J33)</f>
        <v>343700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ht="14.25" x14ac:dyDescent="0.2">
      <c r="B34" s="35" t="s">
        <v>84</v>
      </c>
      <c r="C34" s="40"/>
      <c r="E34" s="37">
        <f>E28*$F42</f>
        <v>50159.999999999985</v>
      </c>
      <c r="F34" s="37">
        <f>(F28-F32)*'Jurisdictional Limits'!S12</f>
        <v>97140</v>
      </c>
      <c r="G34" s="37"/>
      <c r="H34" s="37"/>
      <c r="I34" s="37"/>
      <c r="J34" s="37"/>
      <c r="K34" s="46">
        <f>SUM(E34:J34)</f>
        <v>147300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ht="14.25" x14ac:dyDescent="0.2"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ht="14.25" x14ac:dyDescent="0.2">
      <c r="B36" s="35"/>
      <c r="C36" s="40"/>
      <c r="D36" s="46"/>
      <c r="E36" s="37"/>
      <c r="F36" s="37"/>
      <c r="G36" s="37"/>
      <c r="H36" s="37"/>
      <c r="I36" s="37"/>
      <c r="J36" s="37"/>
      <c r="K36" s="41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ht="18" x14ac:dyDescent="0.25">
      <c r="A37" s="33" t="s">
        <v>55</v>
      </c>
      <c r="C37" s="40"/>
      <c r="D37" s="49" t="s">
        <v>22</v>
      </c>
      <c r="E37" s="41">
        <f>SUM(E32:E34)</f>
        <v>836000</v>
      </c>
      <c r="F37" s="41">
        <f>SUM(F32:F34)</f>
        <v>1255000</v>
      </c>
      <c r="G37" s="46" t="s">
        <v>186</v>
      </c>
      <c r="H37" s="46" t="s">
        <v>186</v>
      </c>
      <c r="I37" s="46" t="s">
        <v>186</v>
      </c>
      <c r="J37" s="46" t="s">
        <v>186</v>
      </c>
      <c r="K37" s="46" t="s">
        <v>186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ht="14.25" x14ac:dyDescent="0.2">
      <c r="C38" s="40"/>
      <c r="D38" s="35"/>
      <c r="E38" s="35"/>
      <c r="F38" s="35"/>
      <c r="G38" s="35"/>
      <c r="H38" s="35"/>
      <c r="I38" s="35"/>
      <c r="J38" s="35"/>
      <c r="K38" s="35"/>
      <c r="L38" s="35"/>
    </row>
    <row r="39" spans="1:24" ht="14.25" x14ac:dyDescent="0.2">
      <c r="C39" s="40"/>
    </row>
    <row r="40" spans="1:24" ht="15.75" x14ac:dyDescent="0.25">
      <c r="A40" s="29" t="s">
        <v>40</v>
      </c>
      <c r="C40" s="40"/>
    </row>
    <row r="41" spans="1:24" ht="15" x14ac:dyDescent="0.25">
      <c r="A41" s="75" t="s">
        <v>26</v>
      </c>
      <c r="B41" s="35" t="s">
        <v>197</v>
      </c>
      <c r="C41" s="35"/>
      <c r="D41" s="45" t="s">
        <v>185</v>
      </c>
      <c r="E41" s="45" t="s">
        <v>76</v>
      </c>
      <c r="F41" s="45" t="s">
        <v>81</v>
      </c>
      <c r="G41" s="80"/>
      <c r="H41" s="81"/>
      <c r="J41" s="35"/>
      <c r="K41" s="35"/>
      <c r="L41" s="35"/>
      <c r="M41" s="35"/>
      <c r="N41" s="58"/>
    </row>
    <row r="42" spans="1:24" ht="14.25" x14ac:dyDescent="0.2">
      <c r="A42" s="35"/>
      <c r="B42" s="35" t="s">
        <v>78</v>
      </c>
      <c r="C42" s="40"/>
      <c r="D42" s="77">
        <v>0.8</v>
      </c>
      <c r="E42" s="77">
        <f>(1-D42)*'Jurisdictional Limits'!$U$12</f>
        <v>0.13999999999999996</v>
      </c>
      <c r="F42" s="77">
        <f>(1-D42)*'Jurisdictional Limits'!$S$12</f>
        <v>5.9999999999999984E-2</v>
      </c>
      <c r="G42" s="78"/>
      <c r="H42" s="35"/>
      <c r="J42" s="40"/>
      <c r="K42" s="46"/>
      <c r="L42" s="47"/>
      <c r="M42" s="78"/>
      <c r="N42" s="58"/>
    </row>
    <row r="43" spans="1:24" ht="14.25" x14ac:dyDescent="0.2">
      <c r="B43" s="35" t="s">
        <v>79</v>
      </c>
      <c r="C43" s="40"/>
      <c r="D43" s="77">
        <v>0.8</v>
      </c>
      <c r="E43" s="77">
        <f>(1-D43)*'Jurisdictional Limits'!$U$12</f>
        <v>0.13999999999999996</v>
      </c>
      <c r="F43" s="77">
        <f>(1-D43)*'Jurisdictional Limits'!$S$12</f>
        <v>5.9999999999999984E-2</v>
      </c>
    </row>
    <row r="44" spans="1:24" ht="14.25" x14ac:dyDescent="0.2">
      <c r="B44" s="35"/>
      <c r="C44" s="40"/>
      <c r="D44" s="77"/>
      <c r="E44" s="77"/>
      <c r="F44" s="77"/>
    </row>
    <row r="45" spans="1:24" ht="14.25" x14ac:dyDescent="0.2">
      <c r="A45" s="75" t="s">
        <v>187</v>
      </c>
      <c r="B45" s="35" t="s">
        <v>198</v>
      </c>
      <c r="C45" s="40"/>
      <c r="D45" s="77"/>
      <c r="E45" s="77"/>
      <c r="F45" s="77"/>
    </row>
    <row r="46" spans="1:24" ht="14.25" x14ac:dyDescent="0.2">
      <c r="A46" s="75"/>
      <c r="G46" s="80"/>
      <c r="H46" s="35"/>
    </row>
    <row r="47" spans="1:24" ht="14.25" x14ac:dyDescent="0.2">
      <c r="A47" s="75" t="s">
        <v>195</v>
      </c>
      <c r="B47" s="35" t="s">
        <v>188</v>
      </c>
      <c r="F47" s="76"/>
      <c r="G47" s="76"/>
      <c r="H47" s="58"/>
    </row>
    <row r="48" spans="1:24" ht="14.25" x14ac:dyDescent="0.2">
      <c r="A48" s="47" t="s">
        <v>22</v>
      </c>
      <c r="B48" s="35" t="s">
        <v>199</v>
      </c>
      <c r="F48" s="76"/>
      <c r="G48" s="76"/>
    </row>
    <row r="49" spans="1:7" ht="14.25" x14ac:dyDescent="0.2">
      <c r="A49" s="35"/>
      <c r="F49" s="35"/>
      <c r="G49" s="35"/>
    </row>
    <row r="50" spans="1:7" ht="14.25" x14ac:dyDescent="0.2">
      <c r="A50" s="75" t="s">
        <v>200</v>
      </c>
      <c r="B50" s="35" t="s">
        <v>196</v>
      </c>
      <c r="F50" s="35"/>
      <c r="G50" s="35"/>
    </row>
    <row r="51" spans="1:7" ht="14.25" x14ac:dyDescent="0.2">
      <c r="C51" s="40"/>
    </row>
    <row r="52" spans="1:7" ht="14.25" x14ac:dyDescent="0.2">
      <c r="C52" s="40"/>
    </row>
    <row r="53" spans="1:7" ht="14.25" x14ac:dyDescent="0.2">
      <c r="C53" s="40"/>
    </row>
    <row r="54" spans="1:7" ht="14.25" x14ac:dyDescent="0.2">
      <c r="C54" s="40"/>
    </row>
    <row r="55" spans="1:7" ht="14.25" x14ac:dyDescent="0.2">
      <c r="C55" s="40"/>
    </row>
    <row r="56" spans="1:7" ht="14.25" x14ac:dyDescent="0.2">
      <c r="C56" s="40"/>
    </row>
    <row r="57" spans="1:7" ht="14.25" x14ac:dyDescent="0.2">
      <c r="C57" s="40"/>
    </row>
    <row r="58" spans="1:7" ht="14.25" x14ac:dyDescent="0.2">
      <c r="C58" s="40"/>
    </row>
    <row r="59" spans="1:7" ht="14.25" x14ac:dyDescent="0.2">
      <c r="C59" s="40"/>
    </row>
    <row r="60" spans="1:7" ht="14.25" x14ac:dyDescent="0.2">
      <c r="C60" s="35"/>
    </row>
    <row r="61" spans="1:7" ht="14.25" x14ac:dyDescent="0.2">
      <c r="C61" s="35"/>
    </row>
  </sheetData>
  <mergeCells count="2">
    <mergeCell ref="H1:I1"/>
    <mergeCell ref="A6:F6"/>
  </mergeCells>
  <phoneticPr fontId="3" type="noConversion"/>
  <printOptions gridLines="1"/>
  <pageMargins left="0.75" right="0.75" top="1" bottom="1" header="0.5" footer="0.5"/>
  <pageSetup scale="61" orientation="landscape" r:id="rId1"/>
  <headerFooter alignWithMargins="0">
    <oddFooter>&amp;C&amp;A</oddFooter>
  </headerFooter>
  <ignoredErrors>
    <ignoredError sqref="A41 A45:A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D3207-18D7-4D7D-9B86-B150E5222DCE}">
  <sheetPr>
    <pageSetUpPr fitToPage="1"/>
  </sheetPr>
  <dimension ref="A1:R49"/>
  <sheetViews>
    <sheetView topLeftCell="A10" zoomScale="120" zoomScaleNormal="120" workbookViewId="0">
      <selection activeCell="A44" sqref="A44:B44"/>
    </sheetView>
  </sheetViews>
  <sheetFormatPr defaultRowHeight="12.75" x14ac:dyDescent="0.2"/>
  <cols>
    <col min="1" max="1" width="4.7109375" customWidth="1"/>
    <col min="11" max="11" width="12.7109375" customWidth="1"/>
    <col min="12" max="12" width="6.7109375" customWidth="1"/>
    <col min="13" max="16" width="12.7109375" customWidth="1"/>
  </cols>
  <sheetData>
    <row r="1" spans="1:16" ht="26.25" x14ac:dyDescent="0.4">
      <c r="A1" s="27" t="s">
        <v>141</v>
      </c>
    </row>
    <row r="2" spans="1:16" ht="20.25" x14ac:dyDescent="0.3">
      <c r="A2" s="91" t="s">
        <v>140</v>
      </c>
    </row>
    <row r="3" spans="1:16" ht="20.25" customHeight="1" x14ac:dyDescent="0.35">
      <c r="A3" s="34"/>
    </row>
    <row r="4" spans="1:16" ht="20.25" x14ac:dyDescent="0.3">
      <c r="A4" s="1" t="s">
        <v>135</v>
      </c>
      <c r="E4" s="33" t="s">
        <v>129</v>
      </c>
      <c r="J4" s="90" t="s">
        <v>132</v>
      </c>
      <c r="K4" s="2" t="s">
        <v>146</v>
      </c>
      <c r="L4" s="2"/>
      <c r="M4" s="90" t="s">
        <v>133</v>
      </c>
      <c r="N4" s="2" t="s">
        <v>138</v>
      </c>
    </row>
    <row r="5" spans="1:16" ht="20.25" x14ac:dyDescent="0.3">
      <c r="A5" s="1" t="s">
        <v>93</v>
      </c>
      <c r="E5" s="33" t="s">
        <v>206</v>
      </c>
    </row>
    <row r="6" spans="1:16" ht="12.75" customHeight="1" x14ac:dyDescent="0.2"/>
    <row r="7" spans="1:16" ht="12.75" customHeight="1" x14ac:dyDescent="0.2"/>
    <row r="8" spans="1:16" ht="15.75" x14ac:dyDescent="0.25">
      <c r="A8" s="146">
        <f ca="1">TODAY()</f>
        <v>44498</v>
      </c>
      <c r="B8" s="146"/>
      <c r="C8" s="146"/>
    </row>
    <row r="10" spans="1:16" ht="20.25" x14ac:dyDescent="0.3">
      <c r="A10" s="1" t="s">
        <v>60</v>
      </c>
    </row>
    <row r="11" spans="1:16" x14ac:dyDescent="0.2">
      <c r="A11" t="s">
        <v>59</v>
      </c>
    </row>
    <row r="13" spans="1:16" ht="12.75" customHeight="1" x14ac:dyDescent="0.25">
      <c r="A13" s="2"/>
    </row>
    <row r="14" spans="1:16" ht="12.75" customHeight="1" x14ac:dyDescent="0.2">
      <c r="A14" s="10" t="s">
        <v>29</v>
      </c>
      <c r="B14" s="11"/>
      <c r="C14" s="11"/>
      <c r="D14" s="11"/>
      <c r="E14" s="11"/>
      <c r="F14" s="11"/>
      <c r="G14" s="11"/>
      <c r="H14" s="9" t="s">
        <v>2</v>
      </c>
      <c r="I14" s="10" t="s">
        <v>3</v>
      </c>
      <c r="J14" s="10"/>
      <c r="K14" s="9" t="s">
        <v>4</v>
      </c>
      <c r="L14" s="9"/>
      <c r="M14" s="11"/>
      <c r="N14" s="9" t="s">
        <v>5</v>
      </c>
      <c r="O14" s="9" t="s">
        <v>6</v>
      </c>
      <c r="P14" s="12" t="s">
        <v>7</v>
      </c>
    </row>
    <row r="15" spans="1:16" x14ac:dyDescent="0.2">
      <c r="A15" s="24" t="s">
        <v>86</v>
      </c>
      <c r="E15">
        <v>2660</v>
      </c>
      <c r="F15" t="s">
        <v>1</v>
      </c>
      <c r="H15" s="86">
        <v>1</v>
      </c>
      <c r="I15" t="s">
        <v>96</v>
      </c>
      <c r="K15" s="86" t="s">
        <v>12</v>
      </c>
      <c r="L15" s="86"/>
      <c r="N15" s="4">
        <f>ROUND(E15*(E17-E16)/9,-2)</f>
        <v>5300</v>
      </c>
      <c r="O15" s="56">
        <v>56</v>
      </c>
      <c r="P15" s="7">
        <f t="shared" ref="P15:P20" si="0">ROUND(N15*O15,-3)</f>
        <v>297000</v>
      </c>
    </row>
    <row r="16" spans="1:16" x14ac:dyDescent="0.2">
      <c r="A16" s="24" t="s">
        <v>102</v>
      </c>
      <c r="E16">
        <v>26</v>
      </c>
      <c r="F16" t="s">
        <v>1</v>
      </c>
      <c r="H16" s="86">
        <f>H15+1</f>
        <v>2</v>
      </c>
      <c r="I16" t="s">
        <v>89</v>
      </c>
      <c r="K16" s="86" t="s">
        <v>12</v>
      </c>
      <c r="L16" s="86"/>
      <c r="N16" s="4">
        <f>ROUND(E15*E16/9,-2)</f>
        <v>7700</v>
      </c>
      <c r="O16" s="56">
        <v>8.24</v>
      </c>
      <c r="P16" s="7">
        <f t="shared" si="0"/>
        <v>63000</v>
      </c>
    </row>
    <row r="17" spans="1:16" x14ac:dyDescent="0.2">
      <c r="A17" s="24" t="s">
        <v>103</v>
      </c>
      <c r="E17">
        <v>44</v>
      </c>
      <c r="F17" t="s">
        <v>1</v>
      </c>
      <c r="H17" s="86">
        <f>H16+1</f>
        <v>3</v>
      </c>
      <c r="I17" s="24" t="s">
        <v>95</v>
      </c>
      <c r="K17" s="89" t="s">
        <v>12</v>
      </c>
      <c r="L17" s="84"/>
      <c r="N17" s="4">
        <f>ROUND(E15*E18/9,-2)</f>
        <v>3000</v>
      </c>
      <c r="O17" s="56">
        <v>24</v>
      </c>
      <c r="P17" s="7">
        <f t="shared" si="0"/>
        <v>72000</v>
      </c>
    </row>
    <row r="18" spans="1:16" x14ac:dyDescent="0.2">
      <c r="A18" s="24" t="s">
        <v>139</v>
      </c>
      <c r="E18">
        <v>10</v>
      </c>
      <c r="F18" t="s">
        <v>1</v>
      </c>
      <c r="H18" s="86">
        <f>H17+1</f>
        <v>4</v>
      </c>
      <c r="I18" t="s">
        <v>8</v>
      </c>
      <c r="K18" s="86" t="s">
        <v>9</v>
      </c>
      <c r="L18" s="86"/>
      <c r="N18" s="4">
        <f>E29</f>
        <v>5400</v>
      </c>
      <c r="O18" s="56">
        <v>20</v>
      </c>
      <c r="P18" s="7">
        <f t="shared" si="0"/>
        <v>108000</v>
      </c>
    </row>
    <row r="19" spans="1:16" x14ac:dyDescent="0.2">
      <c r="H19" s="86">
        <f>H18+1</f>
        <v>5</v>
      </c>
      <c r="I19" s="24" t="s">
        <v>192</v>
      </c>
      <c r="K19" s="86" t="s">
        <v>11</v>
      </c>
      <c r="L19" s="86"/>
      <c r="N19" s="4">
        <f>(E15*1.667)</f>
        <v>4434.22</v>
      </c>
      <c r="O19" s="56">
        <v>20</v>
      </c>
      <c r="P19" s="7">
        <f t="shared" si="0"/>
        <v>89000</v>
      </c>
    </row>
    <row r="20" spans="1:16" x14ac:dyDescent="0.2">
      <c r="A20" t="s">
        <v>87</v>
      </c>
      <c r="D20" s="24" t="s">
        <v>202</v>
      </c>
      <c r="H20" s="88">
        <f>H19+1</f>
        <v>6</v>
      </c>
      <c r="I20" s="24" t="s">
        <v>111</v>
      </c>
      <c r="K20" s="86" t="s">
        <v>10</v>
      </c>
      <c r="L20" s="84">
        <v>0</v>
      </c>
      <c r="M20" t="s">
        <v>66</v>
      </c>
      <c r="N20" s="4">
        <f>E15*L20</f>
        <v>0</v>
      </c>
      <c r="O20" s="56">
        <v>6.8</v>
      </c>
      <c r="P20" s="7">
        <f t="shared" si="0"/>
        <v>0</v>
      </c>
    </row>
    <row r="21" spans="1:16" x14ac:dyDescent="0.2">
      <c r="D21" s="24" t="s">
        <v>208</v>
      </c>
    </row>
    <row r="22" spans="1:16" x14ac:dyDescent="0.2">
      <c r="D22" t="s">
        <v>207</v>
      </c>
      <c r="H22" s="86">
        <f>H20+1</f>
        <v>7</v>
      </c>
      <c r="I22" s="24" t="s">
        <v>83</v>
      </c>
      <c r="K22" s="86" t="s">
        <v>32</v>
      </c>
      <c r="L22" s="86"/>
      <c r="N22" s="4">
        <v>0</v>
      </c>
      <c r="O22" s="6">
        <v>300000</v>
      </c>
      <c r="P22" s="7">
        <f>ROUND(N22*O22,-3)</f>
        <v>0</v>
      </c>
    </row>
    <row r="23" spans="1:16" x14ac:dyDescent="0.2">
      <c r="A23" t="s">
        <v>8</v>
      </c>
      <c r="H23" s="86">
        <f t="shared" ref="H23:H29" si="1">H22+1</f>
        <v>8</v>
      </c>
      <c r="I23" s="24" t="s">
        <v>90</v>
      </c>
      <c r="K23" s="86" t="s">
        <v>14</v>
      </c>
      <c r="L23" s="8">
        <v>0.3</v>
      </c>
      <c r="M23" s="24" t="s">
        <v>112</v>
      </c>
      <c r="O23" s="5" t="s">
        <v>15</v>
      </c>
      <c r="P23" s="7">
        <f t="shared" ref="P23:P29" si="2">ROUND(SUM(P$15:P$20)*L23,-3)</f>
        <v>189000</v>
      </c>
    </row>
    <row r="24" spans="1:16" x14ac:dyDescent="0.2">
      <c r="B24" t="s">
        <v>25</v>
      </c>
      <c r="E24">
        <f>E15</f>
        <v>2660</v>
      </c>
      <c r="F24" t="s">
        <v>1</v>
      </c>
      <c r="H24" s="86">
        <f t="shared" si="1"/>
        <v>9</v>
      </c>
      <c r="I24" t="s">
        <v>13</v>
      </c>
      <c r="K24" s="86" t="s">
        <v>14</v>
      </c>
      <c r="L24" s="8">
        <v>0.45</v>
      </c>
      <c r="M24" s="24" t="s">
        <v>112</v>
      </c>
      <c r="O24" s="5" t="s">
        <v>15</v>
      </c>
      <c r="P24" s="7">
        <f t="shared" si="2"/>
        <v>283000</v>
      </c>
    </row>
    <row r="25" spans="1:16" x14ac:dyDescent="0.2">
      <c r="B25" t="s">
        <v>98</v>
      </c>
      <c r="E25">
        <v>39</v>
      </c>
      <c r="F25" t="s">
        <v>1</v>
      </c>
      <c r="H25" s="86">
        <f t="shared" si="1"/>
        <v>10</v>
      </c>
      <c r="I25" t="s">
        <v>16</v>
      </c>
      <c r="K25" s="86" t="s">
        <v>14</v>
      </c>
      <c r="L25" s="8">
        <v>0.15</v>
      </c>
      <c r="M25" s="24" t="s">
        <v>112</v>
      </c>
      <c r="O25" s="5" t="s">
        <v>15</v>
      </c>
      <c r="P25" s="7">
        <f t="shared" si="2"/>
        <v>94000</v>
      </c>
    </row>
    <row r="26" spans="1:16" x14ac:dyDescent="0.2">
      <c r="B26" t="s">
        <v>61</v>
      </c>
      <c r="E26">
        <f>E25+(4*E27*3+4)</f>
        <v>55</v>
      </c>
      <c r="F26" t="s">
        <v>1</v>
      </c>
      <c r="H26" s="86">
        <f t="shared" si="1"/>
        <v>11</v>
      </c>
      <c r="I26" t="s">
        <v>17</v>
      </c>
      <c r="K26" s="86" t="s">
        <v>14</v>
      </c>
      <c r="L26" s="8">
        <v>0.3</v>
      </c>
      <c r="M26" s="24" t="s">
        <v>112</v>
      </c>
      <c r="O26" s="5" t="s">
        <v>15</v>
      </c>
      <c r="P26" s="7">
        <f t="shared" si="2"/>
        <v>189000</v>
      </c>
    </row>
    <row r="27" spans="1:16" x14ac:dyDescent="0.2">
      <c r="B27" t="s">
        <v>62</v>
      </c>
      <c r="E27" s="14">
        <v>1</v>
      </c>
      <c r="F27" t="s">
        <v>1</v>
      </c>
      <c r="H27" s="86">
        <f t="shared" si="1"/>
        <v>12</v>
      </c>
      <c r="I27" t="s">
        <v>18</v>
      </c>
      <c r="K27" s="86" t="s">
        <v>14</v>
      </c>
      <c r="L27" s="32">
        <v>1.4999999999999999E-2</v>
      </c>
      <c r="M27" s="24" t="s">
        <v>112</v>
      </c>
      <c r="O27" s="5" t="s">
        <v>15</v>
      </c>
      <c r="P27" s="7">
        <f t="shared" si="2"/>
        <v>9000</v>
      </c>
    </row>
    <row r="28" spans="1:16" x14ac:dyDescent="0.2">
      <c r="B28" t="s">
        <v>63</v>
      </c>
      <c r="E28">
        <f>E26*E27</f>
        <v>55</v>
      </c>
      <c r="F28" t="s">
        <v>10</v>
      </c>
      <c r="H28" s="86">
        <f t="shared" si="1"/>
        <v>13</v>
      </c>
      <c r="I28" t="s">
        <v>31</v>
      </c>
      <c r="K28" s="86" t="s">
        <v>14</v>
      </c>
      <c r="L28" s="8">
        <v>0</v>
      </c>
      <c r="M28" s="24" t="s">
        <v>112</v>
      </c>
      <c r="O28" s="5" t="s">
        <v>15</v>
      </c>
      <c r="P28" s="7">
        <f t="shared" si="2"/>
        <v>0</v>
      </c>
    </row>
    <row r="29" spans="1:16" x14ac:dyDescent="0.2">
      <c r="B29" t="s">
        <v>64</v>
      </c>
      <c r="E29" s="54">
        <f>ROUND((E28*E24)/27,-2)</f>
        <v>5400</v>
      </c>
      <c r="F29" s="53" t="s">
        <v>9</v>
      </c>
      <c r="H29" s="86">
        <f t="shared" si="1"/>
        <v>14</v>
      </c>
      <c r="I29" t="s">
        <v>19</v>
      </c>
      <c r="K29" s="86" t="s">
        <v>14</v>
      </c>
      <c r="L29" s="8">
        <v>0.3</v>
      </c>
      <c r="M29" s="24" t="s">
        <v>112</v>
      </c>
      <c r="O29" s="5" t="s">
        <v>15</v>
      </c>
      <c r="P29" s="7">
        <f t="shared" si="2"/>
        <v>189000</v>
      </c>
    </row>
    <row r="30" spans="1:16" x14ac:dyDescent="0.2">
      <c r="M30" s="24" t="s">
        <v>22</v>
      </c>
    </row>
    <row r="31" spans="1:16" x14ac:dyDescent="0.2">
      <c r="H31" s="86">
        <f>H29+1</f>
        <v>15</v>
      </c>
      <c r="I31" t="s">
        <v>20</v>
      </c>
      <c r="K31" s="86" t="s">
        <v>14</v>
      </c>
      <c r="L31" s="8">
        <v>0.2</v>
      </c>
      <c r="M31" s="24" t="s">
        <v>112</v>
      </c>
      <c r="O31" s="5" t="s">
        <v>15</v>
      </c>
      <c r="P31" s="7">
        <f>ROUND(SUM(P$15:P$20)*L31,-3)</f>
        <v>126000</v>
      </c>
    </row>
    <row r="32" spans="1:16" x14ac:dyDescent="0.2">
      <c r="A32" t="s">
        <v>27</v>
      </c>
      <c r="E32" t="s">
        <v>22</v>
      </c>
      <c r="F32" t="s">
        <v>22</v>
      </c>
    </row>
    <row r="33" spans="1:18" x14ac:dyDescent="0.2">
      <c r="A33" t="s">
        <v>22</v>
      </c>
      <c r="B33" t="s">
        <v>110</v>
      </c>
      <c r="E33" s="79">
        <v>70</v>
      </c>
      <c r="F33" t="s">
        <v>1</v>
      </c>
      <c r="H33" s="86">
        <f>H31+1</f>
        <v>16</v>
      </c>
      <c r="I33" t="s">
        <v>36</v>
      </c>
      <c r="K33" s="86" t="s">
        <v>14</v>
      </c>
      <c r="L33" s="8">
        <v>0.15</v>
      </c>
      <c r="M33" s="24" t="s">
        <v>114</v>
      </c>
      <c r="O33" s="5" t="s">
        <v>15</v>
      </c>
      <c r="P33" s="7">
        <f>ROUND(SUM(P15:P31)*L33,-3)</f>
        <v>256000</v>
      </c>
    </row>
    <row r="34" spans="1:18" x14ac:dyDescent="0.2">
      <c r="B34" t="s">
        <v>70</v>
      </c>
      <c r="E34">
        <v>70</v>
      </c>
      <c r="F34" t="s">
        <v>1</v>
      </c>
      <c r="L34" s="8"/>
      <c r="O34" s="5"/>
      <c r="P34" s="7"/>
    </row>
    <row r="35" spans="1:18" x14ac:dyDescent="0.2">
      <c r="B35" t="s">
        <v>69</v>
      </c>
      <c r="E35">
        <v>80</v>
      </c>
      <c r="F35" t="s">
        <v>1</v>
      </c>
      <c r="H35" s="86">
        <f>H33+1</f>
        <v>17</v>
      </c>
      <c r="I35" t="s">
        <v>28</v>
      </c>
      <c r="K35" s="86" t="s">
        <v>24</v>
      </c>
      <c r="M35" s="24" t="s">
        <v>22</v>
      </c>
      <c r="N35" s="15">
        <f>E37</f>
        <v>0.6</v>
      </c>
      <c r="O35" s="6">
        <v>60000</v>
      </c>
      <c r="P35" s="7">
        <f>ROUND(N35*O35,-3)</f>
        <v>36000</v>
      </c>
    </row>
    <row r="36" spans="1:18" x14ac:dyDescent="0.2">
      <c r="B36" t="s">
        <v>25</v>
      </c>
      <c r="E36">
        <f>E15</f>
        <v>2660</v>
      </c>
      <c r="F36" t="s">
        <v>1</v>
      </c>
      <c r="H36" s="86">
        <f>H35+1</f>
        <v>18</v>
      </c>
      <c r="I36" t="s">
        <v>23</v>
      </c>
      <c r="K36" s="86"/>
      <c r="O36" s="6">
        <v>0</v>
      </c>
      <c r="P36" s="7">
        <f>ROUND(N36*O36,-3)</f>
        <v>0</v>
      </c>
    </row>
    <row r="37" spans="1:18" x14ac:dyDescent="0.2">
      <c r="B37" t="s">
        <v>65</v>
      </c>
      <c r="E37" s="14">
        <f>ROUND(((E35-E33)*E36)/43560,1)</f>
        <v>0.6</v>
      </c>
      <c r="F37" t="s">
        <v>24</v>
      </c>
      <c r="H37" s="86">
        <f>H36+1</f>
        <v>19</v>
      </c>
      <c r="I37" s="24" t="s">
        <v>72</v>
      </c>
      <c r="K37" s="86" t="s">
        <v>11</v>
      </c>
      <c r="N37" s="4">
        <f>E15</f>
        <v>2660</v>
      </c>
      <c r="O37" s="6">
        <v>50</v>
      </c>
      <c r="P37" s="7">
        <f>ROUND(N37*O37,-3)</f>
        <v>133000</v>
      </c>
    </row>
    <row r="39" spans="1:18" x14ac:dyDescent="0.2">
      <c r="H39" s="13">
        <f>H37+1</f>
        <v>20</v>
      </c>
      <c r="I39" s="11" t="s">
        <v>21</v>
      </c>
      <c r="J39" s="11"/>
      <c r="K39" s="13" t="s">
        <v>14</v>
      </c>
      <c r="L39" s="16">
        <v>0.3</v>
      </c>
      <c r="M39" s="57" t="s">
        <v>113</v>
      </c>
      <c r="N39" s="11"/>
      <c r="O39" s="17" t="s">
        <v>15</v>
      </c>
      <c r="P39" s="18">
        <f>ROUND(SUM(P15:P37)*L39,-4)</f>
        <v>640000</v>
      </c>
    </row>
    <row r="40" spans="1:18" ht="15" x14ac:dyDescent="0.25">
      <c r="E40" s="14"/>
      <c r="H40" s="28" t="s">
        <v>41</v>
      </c>
      <c r="I40" s="20"/>
      <c r="J40" s="20"/>
      <c r="K40" s="86"/>
      <c r="P40" s="26">
        <f>ROUND(SUM(P15:P39),-4)</f>
        <v>2770000</v>
      </c>
    </row>
    <row r="41" spans="1:18" ht="15.75" x14ac:dyDescent="0.25">
      <c r="A41" s="29" t="s">
        <v>40</v>
      </c>
      <c r="E41" s="14"/>
    </row>
    <row r="42" spans="1:18" x14ac:dyDescent="0.2">
      <c r="H42" s="86" t="s">
        <v>42</v>
      </c>
      <c r="I42" s="24" t="s">
        <v>67</v>
      </c>
      <c r="L42" s="8">
        <v>0.2</v>
      </c>
      <c r="M42" t="s">
        <v>37</v>
      </c>
      <c r="O42" s="24"/>
      <c r="P42" s="7">
        <f>ROUND((P33)*L42,-3)</f>
        <v>51000</v>
      </c>
      <c r="Q42" s="147" t="s">
        <v>48</v>
      </c>
      <c r="R42" s="147"/>
    </row>
    <row r="43" spans="1:18" x14ac:dyDescent="0.2">
      <c r="A43" s="19" t="s">
        <v>26</v>
      </c>
      <c r="B43" t="s">
        <v>88</v>
      </c>
      <c r="H43" s="86" t="s">
        <v>43</v>
      </c>
      <c r="I43" s="24" t="s">
        <v>36</v>
      </c>
      <c r="J43" s="24"/>
      <c r="K43" s="24"/>
      <c r="L43" s="24"/>
      <c r="M43" s="24"/>
      <c r="N43" s="24"/>
      <c r="O43" s="24"/>
      <c r="P43" s="25">
        <f>P33</f>
        <v>256000</v>
      </c>
      <c r="Q43" s="147" t="s">
        <v>48</v>
      </c>
      <c r="R43" s="147"/>
    </row>
    <row r="44" spans="1:18" x14ac:dyDescent="0.2">
      <c r="A44" s="19" t="s">
        <v>187</v>
      </c>
      <c r="B44" t="s">
        <v>209</v>
      </c>
      <c r="H44" s="86" t="s">
        <v>44</v>
      </c>
      <c r="I44" s="24" t="s">
        <v>73</v>
      </c>
      <c r="J44" s="24"/>
      <c r="K44" s="24"/>
      <c r="L44" s="24"/>
      <c r="M44" s="24"/>
      <c r="N44" s="24"/>
      <c r="O44" s="24"/>
      <c r="P44" s="25">
        <f>ROUND((P35+P36+P37),-3)</f>
        <v>169000</v>
      </c>
      <c r="Q44" s="147" t="s">
        <v>48</v>
      </c>
      <c r="R44" s="147"/>
    </row>
    <row r="45" spans="1:18" x14ac:dyDescent="0.2">
      <c r="H45" s="86" t="s">
        <v>45</v>
      </c>
      <c r="I45" s="24" t="s">
        <v>33</v>
      </c>
      <c r="J45" s="24"/>
      <c r="K45" s="24"/>
      <c r="L45" s="24"/>
      <c r="M45" s="24"/>
      <c r="N45" s="24"/>
      <c r="O45" s="24"/>
      <c r="P45" s="25">
        <f>ROUND(SUM(P15:P31),-3)</f>
        <v>1708000</v>
      </c>
      <c r="Q45" s="147" t="s">
        <v>48</v>
      </c>
      <c r="R45" s="147"/>
    </row>
    <row r="46" spans="1:18" x14ac:dyDescent="0.2">
      <c r="H46" s="30" t="s">
        <v>46</v>
      </c>
      <c r="I46" s="21" t="s">
        <v>34</v>
      </c>
      <c r="J46" s="21"/>
      <c r="K46" s="21"/>
      <c r="L46" s="22">
        <v>7.0000000000000007E-2</v>
      </c>
      <c r="M46" s="21" t="s">
        <v>38</v>
      </c>
      <c r="N46" s="21"/>
      <c r="O46" s="21"/>
      <c r="P46" s="23">
        <f>ROUND(P45*L46,-3)</f>
        <v>120000</v>
      </c>
      <c r="Q46" s="147" t="s">
        <v>48</v>
      </c>
      <c r="R46" s="147"/>
    </row>
    <row r="47" spans="1:18" x14ac:dyDescent="0.2">
      <c r="H47" s="13" t="s">
        <v>47</v>
      </c>
      <c r="I47" s="31" t="s">
        <v>21</v>
      </c>
      <c r="J47" s="11"/>
      <c r="K47" s="11"/>
      <c r="L47" s="16">
        <f>L39</f>
        <v>0.3</v>
      </c>
      <c r="M47" s="57" t="s">
        <v>49</v>
      </c>
      <c r="N47" s="11"/>
      <c r="O47" s="11"/>
      <c r="P47" s="18">
        <f>ROUND(SUM(P42:P46)*L47,-4)</f>
        <v>690000</v>
      </c>
    </row>
    <row r="49" spans="8:16" ht="15.75" x14ac:dyDescent="0.25">
      <c r="H49" s="2" t="s">
        <v>39</v>
      </c>
      <c r="O49" s="145">
        <f>ROUND(SUM(P42:P47),-4)</f>
        <v>2990000</v>
      </c>
      <c r="P49" s="145"/>
    </row>
  </sheetData>
  <mergeCells count="7">
    <mergeCell ref="O49:P49"/>
    <mergeCell ref="A8:C8"/>
    <mergeCell ref="Q42:R42"/>
    <mergeCell ref="Q43:R43"/>
    <mergeCell ref="Q44:R44"/>
    <mergeCell ref="Q45:R45"/>
    <mergeCell ref="Q46:R46"/>
  </mergeCells>
  <pageMargins left="0.75" right="0.75" top="1" bottom="1" header="0.5" footer="0.5"/>
  <pageSetup paperSize="17" scale="70" orientation="landscape" r:id="rId1"/>
  <headerFooter alignWithMargins="0">
    <oddFooter>&amp;A</oddFooter>
  </headerFooter>
  <ignoredErrors>
    <ignoredError sqref="A43:A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4D0EB-957E-4310-94D2-ED8B9D39D053}">
  <sheetPr>
    <pageSetUpPr fitToPage="1"/>
  </sheetPr>
  <dimension ref="A1:R47"/>
  <sheetViews>
    <sheetView topLeftCell="A16" zoomScale="120" zoomScaleNormal="120" workbookViewId="0">
      <selection activeCell="N16" sqref="N16"/>
    </sheetView>
  </sheetViews>
  <sheetFormatPr defaultRowHeight="12.75" x14ac:dyDescent="0.2"/>
  <cols>
    <col min="1" max="1" width="4.7109375" customWidth="1"/>
    <col min="11" max="11" width="12.7109375" customWidth="1"/>
    <col min="12" max="12" width="6.7109375" customWidth="1"/>
    <col min="13" max="16" width="12.7109375" customWidth="1"/>
  </cols>
  <sheetData>
    <row r="1" spans="1:16" ht="26.25" x14ac:dyDescent="0.4">
      <c r="A1" s="27" t="s">
        <v>141</v>
      </c>
    </row>
    <row r="2" spans="1:16" ht="20.25" x14ac:dyDescent="0.3">
      <c r="A2" s="91" t="s">
        <v>140</v>
      </c>
    </row>
    <row r="3" spans="1:16" ht="20.25" customHeight="1" x14ac:dyDescent="0.35">
      <c r="A3" s="34"/>
    </row>
    <row r="4" spans="1:16" ht="20.25" x14ac:dyDescent="0.3">
      <c r="A4" s="1" t="s">
        <v>82</v>
      </c>
      <c r="E4" s="33" t="s">
        <v>130</v>
      </c>
      <c r="J4" s="90" t="s">
        <v>132</v>
      </c>
      <c r="K4" s="2" t="s">
        <v>134</v>
      </c>
      <c r="L4" s="2"/>
      <c r="M4" s="90" t="s">
        <v>133</v>
      </c>
      <c r="N4" s="2" t="s">
        <v>135</v>
      </c>
    </row>
    <row r="5" spans="1:16" ht="20.25" x14ac:dyDescent="0.3">
      <c r="A5" s="1" t="s">
        <v>93</v>
      </c>
      <c r="E5" s="33" t="s">
        <v>131</v>
      </c>
    </row>
    <row r="8" spans="1:16" ht="15.75" x14ac:dyDescent="0.25">
      <c r="A8" s="146">
        <f ca="1">TODAY()</f>
        <v>44498</v>
      </c>
      <c r="B8" s="146"/>
      <c r="C8" s="146"/>
    </row>
    <row r="10" spans="1:16" ht="20.25" x14ac:dyDescent="0.3">
      <c r="A10" s="1" t="s">
        <v>60</v>
      </c>
    </row>
    <row r="11" spans="1:16" x14ac:dyDescent="0.2">
      <c r="A11" t="s">
        <v>59</v>
      </c>
    </row>
    <row r="13" spans="1:16" ht="12.75" customHeight="1" x14ac:dyDescent="0.25">
      <c r="A13" s="2"/>
    </row>
    <row r="14" spans="1:16" ht="12.75" customHeight="1" x14ac:dyDescent="0.2">
      <c r="A14" s="10" t="s">
        <v>29</v>
      </c>
      <c r="B14" s="11"/>
      <c r="C14" s="11"/>
      <c r="D14" s="11"/>
      <c r="E14" s="11"/>
      <c r="F14" s="11"/>
      <c r="G14" s="11"/>
      <c r="H14" s="9" t="s">
        <v>2</v>
      </c>
      <c r="I14" s="10" t="s">
        <v>3</v>
      </c>
      <c r="J14" s="10"/>
      <c r="K14" s="9" t="s">
        <v>4</v>
      </c>
      <c r="L14" s="9"/>
      <c r="M14" s="11"/>
      <c r="N14" s="9" t="s">
        <v>5</v>
      </c>
      <c r="O14" s="9" t="s">
        <v>6</v>
      </c>
      <c r="P14" s="12" t="s">
        <v>7</v>
      </c>
    </row>
    <row r="15" spans="1:16" x14ac:dyDescent="0.2">
      <c r="A15" s="24" t="s">
        <v>86</v>
      </c>
      <c r="E15">
        <v>1480</v>
      </c>
      <c r="F15" t="s">
        <v>1</v>
      </c>
      <c r="H15" s="87">
        <v>1</v>
      </c>
      <c r="I15" t="s">
        <v>89</v>
      </c>
      <c r="K15" s="87" t="s">
        <v>12</v>
      </c>
      <c r="L15" s="87"/>
      <c r="N15" s="4">
        <f>ROUND((E15+500)*E17/9,-2)</f>
        <v>8800</v>
      </c>
      <c r="O15" s="56">
        <v>8.24</v>
      </c>
      <c r="P15" s="7">
        <f>ROUND(N15*O15,-3)</f>
        <v>73000</v>
      </c>
    </row>
    <row r="16" spans="1:16" x14ac:dyDescent="0.2">
      <c r="A16" t="s">
        <v>94</v>
      </c>
      <c r="H16" s="87">
        <f>H15+1</f>
        <v>2</v>
      </c>
      <c r="I16" t="s">
        <v>95</v>
      </c>
      <c r="K16" s="87" t="s">
        <v>12</v>
      </c>
      <c r="L16" s="87"/>
      <c r="N16" s="4">
        <f>ROUND(E15*E18/9,-2)</f>
        <v>1600</v>
      </c>
      <c r="O16" s="56">
        <v>24</v>
      </c>
      <c r="P16" s="7">
        <f>ROUND(N16*O16,-3)</f>
        <v>38000</v>
      </c>
    </row>
    <row r="17" spans="1:16" x14ac:dyDescent="0.2">
      <c r="B17" t="s">
        <v>89</v>
      </c>
      <c r="E17">
        <v>40</v>
      </c>
      <c r="F17" t="s">
        <v>1</v>
      </c>
      <c r="H17" s="87">
        <f>H16+1</f>
        <v>3</v>
      </c>
      <c r="I17" t="s">
        <v>8</v>
      </c>
      <c r="K17" s="87" t="s">
        <v>9</v>
      </c>
      <c r="L17" s="87"/>
      <c r="N17" s="4">
        <f>E28</f>
        <v>500</v>
      </c>
      <c r="O17" s="56">
        <v>20</v>
      </c>
      <c r="P17" s="7">
        <f>ROUND(N17*O17,-3)</f>
        <v>10000</v>
      </c>
    </row>
    <row r="18" spans="1:16" x14ac:dyDescent="0.2">
      <c r="B18" t="s">
        <v>95</v>
      </c>
      <c r="E18">
        <v>10</v>
      </c>
      <c r="F18" t="s">
        <v>1</v>
      </c>
      <c r="H18" s="87"/>
      <c r="K18" s="87"/>
      <c r="L18" s="84"/>
      <c r="N18" s="4"/>
      <c r="O18" s="56"/>
      <c r="P18" s="7"/>
    </row>
    <row r="20" spans="1:16" x14ac:dyDescent="0.2">
      <c r="A20" t="s">
        <v>87</v>
      </c>
      <c r="D20" t="s">
        <v>104</v>
      </c>
      <c r="H20" s="87">
        <f>H17+1</f>
        <v>4</v>
      </c>
      <c r="I20" s="24" t="s">
        <v>83</v>
      </c>
      <c r="K20" s="87" t="s">
        <v>32</v>
      </c>
      <c r="L20" s="87"/>
      <c r="N20" s="4">
        <v>1</v>
      </c>
      <c r="O20" s="6">
        <v>300000</v>
      </c>
      <c r="P20" s="7">
        <f>ROUND(N20*O20,-3)</f>
        <v>300000</v>
      </c>
    </row>
    <row r="21" spans="1:16" x14ac:dyDescent="0.2">
      <c r="D21" t="s">
        <v>105</v>
      </c>
      <c r="H21" s="87">
        <f t="shared" ref="H21:H27" si="0">H20+1</f>
        <v>5</v>
      </c>
      <c r="I21" s="24" t="s">
        <v>90</v>
      </c>
      <c r="K21" s="87" t="s">
        <v>14</v>
      </c>
      <c r="L21" s="8">
        <v>0.3</v>
      </c>
      <c r="M21" s="24" t="s">
        <v>106</v>
      </c>
      <c r="O21" s="5" t="s">
        <v>15</v>
      </c>
      <c r="P21" s="7">
        <f>ROUND(SUM(P$15:P$17)*L21,-3)</f>
        <v>36000</v>
      </c>
    </row>
    <row r="22" spans="1:16" x14ac:dyDescent="0.2">
      <c r="A22" t="s">
        <v>8</v>
      </c>
      <c r="H22" s="87">
        <f t="shared" si="0"/>
        <v>6</v>
      </c>
      <c r="I22" t="s">
        <v>13</v>
      </c>
      <c r="K22" s="87" t="s">
        <v>14</v>
      </c>
      <c r="L22" s="8">
        <v>0.3</v>
      </c>
      <c r="M22" s="24" t="s">
        <v>106</v>
      </c>
      <c r="O22" s="5" t="s">
        <v>15</v>
      </c>
      <c r="P22" s="7">
        <f t="shared" ref="P22:P27" si="1">ROUND(SUM(P$15:P$17)*L22,-3)</f>
        <v>36000</v>
      </c>
    </row>
    <row r="23" spans="1:16" x14ac:dyDescent="0.2">
      <c r="B23" t="s">
        <v>25</v>
      </c>
      <c r="E23">
        <f>E15</f>
        <v>1480</v>
      </c>
      <c r="F23" t="s">
        <v>1</v>
      </c>
      <c r="H23" s="87">
        <f t="shared" si="0"/>
        <v>7</v>
      </c>
      <c r="I23" t="s">
        <v>16</v>
      </c>
      <c r="K23" s="87" t="s">
        <v>14</v>
      </c>
      <c r="L23" s="8">
        <v>0.15</v>
      </c>
      <c r="M23" s="24" t="s">
        <v>106</v>
      </c>
      <c r="O23" s="5" t="s">
        <v>15</v>
      </c>
      <c r="P23" s="7">
        <f t="shared" si="1"/>
        <v>18000</v>
      </c>
    </row>
    <row r="24" spans="1:16" x14ac:dyDescent="0.2">
      <c r="B24" t="s">
        <v>30</v>
      </c>
      <c r="E24">
        <v>20</v>
      </c>
      <c r="F24" t="s">
        <v>1</v>
      </c>
      <c r="H24" s="87">
        <f t="shared" si="0"/>
        <v>8</v>
      </c>
      <c r="I24" t="s">
        <v>17</v>
      </c>
      <c r="K24" s="87" t="s">
        <v>14</v>
      </c>
      <c r="L24" s="8">
        <v>0.3</v>
      </c>
      <c r="M24" s="24" t="s">
        <v>106</v>
      </c>
      <c r="O24" s="5" t="s">
        <v>15</v>
      </c>
      <c r="P24" s="7">
        <f t="shared" si="1"/>
        <v>36000</v>
      </c>
    </row>
    <row r="25" spans="1:16" x14ac:dyDescent="0.2">
      <c r="B25" t="s">
        <v>61</v>
      </c>
      <c r="E25">
        <v>20</v>
      </c>
      <c r="F25" t="s">
        <v>1</v>
      </c>
      <c r="H25" s="87">
        <f t="shared" si="0"/>
        <v>9</v>
      </c>
      <c r="I25" t="s">
        <v>18</v>
      </c>
      <c r="K25" s="87" t="s">
        <v>14</v>
      </c>
      <c r="L25" s="32">
        <v>1.4999999999999999E-2</v>
      </c>
      <c r="M25" s="24" t="s">
        <v>106</v>
      </c>
      <c r="O25" s="5" t="s">
        <v>15</v>
      </c>
      <c r="P25" s="7">
        <f t="shared" si="1"/>
        <v>2000</v>
      </c>
    </row>
    <row r="26" spans="1:16" x14ac:dyDescent="0.2">
      <c r="B26" t="s">
        <v>62</v>
      </c>
      <c r="E26" s="14">
        <v>0.5</v>
      </c>
      <c r="F26" t="s">
        <v>1</v>
      </c>
      <c r="H26" s="87">
        <f t="shared" si="0"/>
        <v>10</v>
      </c>
      <c r="I26" t="s">
        <v>31</v>
      </c>
      <c r="K26" s="87" t="s">
        <v>14</v>
      </c>
      <c r="L26" s="8">
        <v>0</v>
      </c>
      <c r="M26" s="24" t="s">
        <v>106</v>
      </c>
      <c r="O26" s="5" t="s">
        <v>15</v>
      </c>
      <c r="P26" s="7">
        <f t="shared" si="1"/>
        <v>0</v>
      </c>
    </row>
    <row r="27" spans="1:16" x14ac:dyDescent="0.2">
      <c r="B27" t="s">
        <v>63</v>
      </c>
      <c r="E27">
        <f>E25*E26</f>
        <v>10</v>
      </c>
      <c r="F27" t="s">
        <v>10</v>
      </c>
      <c r="H27" s="87">
        <f t="shared" si="0"/>
        <v>11</v>
      </c>
      <c r="I27" t="s">
        <v>19</v>
      </c>
      <c r="K27" s="87" t="s">
        <v>14</v>
      </c>
      <c r="L27" s="8">
        <v>0.3</v>
      </c>
      <c r="M27" s="24" t="s">
        <v>106</v>
      </c>
      <c r="O27" s="5" t="s">
        <v>15</v>
      </c>
      <c r="P27" s="7">
        <f t="shared" si="1"/>
        <v>36000</v>
      </c>
    </row>
    <row r="28" spans="1:16" x14ac:dyDescent="0.2">
      <c r="B28" t="s">
        <v>64</v>
      </c>
      <c r="E28" s="54">
        <f>ROUND((E27*E23)/27,-2)</f>
        <v>500</v>
      </c>
      <c r="F28" s="53" t="s">
        <v>9</v>
      </c>
      <c r="M28" s="24" t="s">
        <v>22</v>
      </c>
    </row>
    <row r="29" spans="1:16" x14ac:dyDescent="0.2">
      <c r="H29" s="87">
        <f>H27+1</f>
        <v>12</v>
      </c>
      <c r="I29" t="s">
        <v>20</v>
      </c>
      <c r="K29" s="87" t="s">
        <v>14</v>
      </c>
      <c r="L29" s="8">
        <v>0.15</v>
      </c>
      <c r="M29" s="24" t="s">
        <v>106</v>
      </c>
      <c r="O29" s="5" t="s">
        <v>15</v>
      </c>
      <c r="P29" s="7">
        <f>ROUND(SUM(P$15:P$17)*L29,-3)</f>
        <v>18000</v>
      </c>
    </row>
    <row r="31" spans="1:16" x14ac:dyDescent="0.2">
      <c r="A31" t="s">
        <v>27</v>
      </c>
      <c r="E31" t="s">
        <v>22</v>
      </c>
      <c r="F31" t="s">
        <v>22</v>
      </c>
      <c r="H31" s="87">
        <f>H29+1</f>
        <v>13</v>
      </c>
      <c r="I31" t="s">
        <v>36</v>
      </c>
      <c r="K31" s="87" t="s">
        <v>14</v>
      </c>
      <c r="L31" s="8">
        <v>0.15</v>
      </c>
      <c r="M31" s="24" t="s">
        <v>107</v>
      </c>
      <c r="O31" s="5" t="s">
        <v>15</v>
      </c>
      <c r="P31" s="7">
        <f>ROUND(SUM(P15:P29)*L31,-3)</f>
        <v>90000</v>
      </c>
    </row>
    <row r="32" spans="1:16" x14ac:dyDescent="0.2">
      <c r="A32" t="s">
        <v>22</v>
      </c>
      <c r="B32" t="s">
        <v>110</v>
      </c>
      <c r="E32" s="79">
        <v>81</v>
      </c>
      <c r="F32" t="s">
        <v>1</v>
      </c>
      <c r="L32" s="8"/>
      <c r="O32" s="5"/>
      <c r="P32" s="7"/>
    </row>
    <row r="33" spans="1:18" x14ac:dyDescent="0.2">
      <c r="B33" t="s">
        <v>70</v>
      </c>
      <c r="E33">
        <v>81</v>
      </c>
      <c r="F33" t="s">
        <v>1</v>
      </c>
      <c r="H33" s="87">
        <f>H31+1</f>
        <v>14</v>
      </c>
      <c r="I33" t="s">
        <v>28</v>
      </c>
      <c r="K33" s="87" t="s">
        <v>24</v>
      </c>
      <c r="M33" s="24" t="s">
        <v>22</v>
      </c>
      <c r="N33" s="15">
        <f>E36</f>
        <v>0</v>
      </c>
      <c r="O33" s="6">
        <v>60000</v>
      </c>
      <c r="P33" s="7">
        <f>ROUND(N33*O33,-3)</f>
        <v>0</v>
      </c>
    </row>
    <row r="34" spans="1:18" x14ac:dyDescent="0.2">
      <c r="B34" t="s">
        <v>69</v>
      </c>
      <c r="E34">
        <v>81</v>
      </c>
      <c r="F34" t="s">
        <v>1</v>
      </c>
      <c r="H34" s="87">
        <f>H33+1</f>
        <v>15</v>
      </c>
      <c r="I34" t="s">
        <v>23</v>
      </c>
      <c r="K34" s="87"/>
      <c r="O34" s="6">
        <v>0</v>
      </c>
      <c r="P34" s="7">
        <f>ROUND(N34*O34,-3)</f>
        <v>0</v>
      </c>
    </row>
    <row r="35" spans="1:18" x14ac:dyDescent="0.2">
      <c r="B35" t="s">
        <v>25</v>
      </c>
      <c r="E35">
        <f>E15</f>
        <v>1480</v>
      </c>
      <c r="F35" t="s">
        <v>1</v>
      </c>
      <c r="H35" s="87">
        <f>H34+1</f>
        <v>16</v>
      </c>
      <c r="I35" s="24" t="s">
        <v>72</v>
      </c>
      <c r="K35" s="87" t="s">
        <v>11</v>
      </c>
      <c r="N35" s="4">
        <f>E15</f>
        <v>1480</v>
      </c>
      <c r="O35" s="6">
        <v>0</v>
      </c>
      <c r="P35" s="7">
        <f>ROUND(N35*O35,-3)</f>
        <v>0</v>
      </c>
    </row>
    <row r="36" spans="1:18" x14ac:dyDescent="0.2">
      <c r="B36" t="s">
        <v>65</v>
      </c>
      <c r="E36" s="14">
        <f>ROUND(((E34-E32)*E35)/43560,1)</f>
        <v>0</v>
      </c>
      <c r="F36" t="s">
        <v>24</v>
      </c>
    </row>
    <row r="37" spans="1:18" x14ac:dyDescent="0.2">
      <c r="E37" s="14"/>
      <c r="H37" s="13">
        <f>H35+1</f>
        <v>17</v>
      </c>
      <c r="I37" s="11" t="s">
        <v>21</v>
      </c>
      <c r="J37" s="11"/>
      <c r="K37" s="13" t="s">
        <v>14</v>
      </c>
      <c r="L37" s="16">
        <v>0.3</v>
      </c>
      <c r="M37" s="57" t="s">
        <v>108</v>
      </c>
      <c r="N37" s="11"/>
      <c r="O37" s="17" t="s">
        <v>15</v>
      </c>
      <c r="P37" s="18">
        <f>ROUND(SUM(P15:P35)*L37,-4)</f>
        <v>210000</v>
      </c>
    </row>
    <row r="38" spans="1:18" ht="15.75" x14ac:dyDescent="0.25">
      <c r="A38" s="29" t="s">
        <v>40</v>
      </c>
      <c r="E38" s="14"/>
      <c r="H38" s="28" t="s">
        <v>41</v>
      </c>
      <c r="I38" s="20"/>
      <c r="J38" s="20"/>
      <c r="K38" s="87"/>
      <c r="P38" s="26">
        <f>ROUND(SUM(P15:P37),-4)</f>
        <v>900000</v>
      </c>
    </row>
    <row r="40" spans="1:18" x14ac:dyDescent="0.2">
      <c r="A40" s="19" t="s">
        <v>26</v>
      </c>
      <c r="B40" t="s">
        <v>88</v>
      </c>
      <c r="H40" s="87" t="s">
        <v>42</v>
      </c>
      <c r="I40" s="24" t="s">
        <v>67</v>
      </c>
      <c r="L40" s="8">
        <v>0.2</v>
      </c>
      <c r="M40" t="s">
        <v>37</v>
      </c>
      <c r="O40" s="24"/>
      <c r="P40" s="7">
        <f>ROUND((P31)*L40,-3)</f>
        <v>18000</v>
      </c>
      <c r="Q40" s="147" t="s">
        <v>48</v>
      </c>
      <c r="R40" s="147"/>
    </row>
    <row r="41" spans="1:18" x14ac:dyDescent="0.2">
      <c r="A41" s="19" t="s">
        <v>187</v>
      </c>
      <c r="B41" t="s">
        <v>210</v>
      </c>
      <c r="H41" s="87" t="s">
        <v>43</v>
      </c>
      <c r="I41" s="24" t="s">
        <v>36</v>
      </c>
      <c r="J41" s="24"/>
      <c r="K41" s="24"/>
      <c r="L41" s="24"/>
      <c r="M41" s="24"/>
      <c r="N41" s="24"/>
      <c r="O41" s="24"/>
      <c r="P41" s="25">
        <f>P31</f>
        <v>90000</v>
      </c>
      <c r="Q41" s="147" t="s">
        <v>48</v>
      </c>
      <c r="R41" s="147"/>
    </row>
    <row r="42" spans="1:18" x14ac:dyDescent="0.2">
      <c r="H42" s="87" t="s">
        <v>44</v>
      </c>
      <c r="I42" s="24" t="s">
        <v>73</v>
      </c>
      <c r="J42" s="24"/>
      <c r="K42" s="24"/>
      <c r="L42" s="24"/>
      <c r="M42" s="24"/>
      <c r="N42" s="24"/>
      <c r="O42" s="24"/>
      <c r="P42" s="25">
        <f>ROUND((P33+P34+P35),-3)</f>
        <v>0</v>
      </c>
      <c r="Q42" s="147" t="s">
        <v>48</v>
      </c>
      <c r="R42" s="147"/>
    </row>
    <row r="43" spans="1:18" x14ac:dyDescent="0.2">
      <c r="H43" s="87" t="s">
        <v>45</v>
      </c>
      <c r="I43" s="24" t="s">
        <v>33</v>
      </c>
      <c r="J43" s="24"/>
      <c r="K43" s="24"/>
      <c r="L43" s="24"/>
      <c r="M43" s="24"/>
      <c r="N43" s="24"/>
      <c r="O43" s="24"/>
      <c r="P43" s="25">
        <f>ROUND(SUM(P15:P29),-3)</f>
        <v>603000</v>
      </c>
      <c r="Q43" s="147" t="s">
        <v>48</v>
      </c>
      <c r="R43" s="147"/>
    </row>
    <row r="44" spans="1:18" x14ac:dyDescent="0.2">
      <c r="H44" s="30" t="s">
        <v>46</v>
      </c>
      <c r="I44" s="21" t="s">
        <v>34</v>
      </c>
      <c r="J44" s="21"/>
      <c r="K44" s="21"/>
      <c r="L44" s="22">
        <v>7.0000000000000007E-2</v>
      </c>
      <c r="M44" s="21" t="s">
        <v>38</v>
      </c>
      <c r="N44" s="21"/>
      <c r="O44" s="21"/>
      <c r="P44" s="23">
        <f>ROUND(P43*L44,-3)</f>
        <v>42000</v>
      </c>
      <c r="Q44" s="147" t="s">
        <v>48</v>
      </c>
      <c r="R44" s="147"/>
    </row>
    <row r="45" spans="1:18" x14ac:dyDescent="0.2">
      <c r="H45" s="13" t="s">
        <v>47</v>
      </c>
      <c r="I45" s="31" t="s">
        <v>21</v>
      </c>
      <c r="J45" s="11"/>
      <c r="K45" s="11"/>
      <c r="L45" s="16">
        <f>L37</f>
        <v>0.3</v>
      </c>
      <c r="M45" s="57" t="s">
        <v>49</v>
      </c>
      <c r="N45" s="11"/>
      <c r="O45" s="11"/>
      <c r="P45" s="18">
        <f>ROUND(SUM(P40:P44)*L45,-4)</f>
        <v>230000</v>
      </c>
    </row>
    <row r="47" spans="1:18" ht="15.75" x14ac:dyDescent="0.25">
      <c r="H47" s="2" t="s">
        <v>39</v>
      </c>
      <c r="O47" s="145">
        <f>ROUND(SUM(P40:P45),-4)</f>
        <v>980000</v>
      </c>
      <c r="P47" s="145"/>
    </row>
  </sheetData>
  <mergeCells count="7">
    <mergeCell ref="O47:P47"/>
    <mergeCell ref="A8:C8"/>
    <mergeCell ref="Q40:R40"/>
    <mergeCell ref="Q41:R41"/>
    <mergeCell ref="Q42:R42"/>
    <mergeCell ref="Q43:R43"/>
    <mergeCell ref="Q44:R44"/>
  </mergeCells>
  <pageMargins left="0.75" right="0.75" top="1" bottom="1" header="0.5" footer="0.5"/>
  <pageSetup paperSize="17" scale="70" orientation="landscape" r:id="rId1"/>
  <headerFooter alignWithMargins="0">
    <oddFooter>&amp;A</oddFooter>
  </headerFooter>
  <ignoredErrors>
    <ignoredError sqref="A40 A4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36FDB-E78D-45CA-869C-68DF1CC177B7}">
  <sheetPr>
    <pageSetUpPr fitToPage="1"/>
  </sheetPr>
  <dimension ref="A1:R50"/>
  <sheetViews>
    <sheetView topLeftCell="A7" zoomScale="120" zoomScaleNormal="120" workbookViewId="0">
      <selection activeCell="L30" sqref="L30"/>
    </sheetView>
  </sheetViews>
  <sheetFormatPr defaultRowHeight="12.75" x14ac:dyDescent="0.2"/>
  <cols>
    <col min="1" max="1" width="4.7109375" customWidth="1"/>
    <col min="11" max="11" width="12.7109375" customWidth="1"/>
    <col min="12" max="12" width="6.7109375" customWidth="1"/>
    <col min="13" max="16" width="12.7109375" customWidth="1"/>
  </cols>
  <sheetData>
    <row r="1" spans="1:16" ht="26.25" x14ac:dyDescent="0.4">
      <c r="A1" s="27" t="s">
        <v>141</v>
      </c>
    </row>
    <row r="2" spans="1:16" ht="20.25" x14ac:dyDescent="0.3">
      <c r="A2" s="91" t="s">
        <v>140</v>
      </c>
    </row>
    <row r="3" spans="1:16" ht="20.25" customHeight="1" x14ac:dyDescent="0.35">
      <c r="A3" s="34"/>
    </row>
    <row r="4" spans="1:16" ht="20.25" x14ac:dyDescent="0.3">
      <c r="A4" s="1" t="s">
        <v>82</v>
      </c>
      <c r="E4" s="33" t="s">
        <v>129</v>
      </c>
      <c r="J4" s="90" t="s">
        <v>132</v>
      </c>
      <c r="K4" s="2" t="s">
        <v>143</v>
      </c>
      <c r="L4" s="2"/>
      <c r="M4" s="90" t="s">
        <v>133</v>
      </c>
      <c r="N4" s="2" t="s">
        <v>134</v>
      </c>
    </row>
    <row r="5" spans="1:16" ht="20.25" x14ac:dyDescent="0.3">
      <c r="A5" s="1" t="s">
        <v>93</v>
      </c>
      <c r="E5" s="33" t="s">
        <v>206</v>
      </c>
      <c r="K5" s="93" t="s">
        <v>155</v>
      </c>
    </row>
    <row r="6" spans="1:16" ht="12.75" customHeight="1" x14ac:dyDescent="0.3">
      <c r="A6" s="1"/>
    </row>
    <row r="7" spans="1:16" ht="12.75" customHeight="1" x14ac:dyDescent="0.2"/>
    <row r="8" spans="1:16" ht="15.75" x14ac:dyDescent="0.25">
      <c r="A8" s="146">
        <f ca="1">TODAY()</f>
        <v>44498</v>
      </c>
      <c r="B8" s="146"/>
      <c r="C8" s="146"/>
    </row>
    <row r="10" spans="1:16" ht="20.25" x14ac:dyDescent="0.3">
      <c r="A10" s="1" t="s">
        <v>60</v>
      </c>
    </row>
    <row r="11" spans="1:16" x14ac:dyDescent="0.2">
      <c r="A11" t="s">
        <v>59</v>
      </c>
    </row>
    <row r="13" spans="1:16" ht="12.75" customHeight="1" x14ac:dyDescent="0.25">
      <c r="A13" s="2"/>
    </row>
    <row r="14" spans="1:16" ht="12.75" customHeight="1" x14ac:dyDescent="0.2">
      <c r="A14" s="10" t="s">
        <v>29</v>
      </c>
      <c r="B14" s="11"/>
      <c r="C14" s="11"/>
      <c r="D14" s="11"/>
      <c r="E14" s="11"/>
      <c r="F14" s="11"/>
      <c r="G14" s="11"/>
      <c r="H14" s="9" t="s">
        <v>2</v>
      </c>
      <c r="I14" s="10" t="s">
        <v>3</v>
      </c>
      <c r="J14" s="10"/>
      <c r="K14" s="9" t="s">
        <v>4</v>
      </c>
      <c r="L14" s="9"/>
      <c r="M14" s="11"/>
      <c r="N14" s="9" t="s">
        <v>5</v>
      </c>
      <c r="O14" s="9" t="s">
        <v>6</v>
      </c>
      <c r="P14" s="12" t="s">
        <v>7</v>
      </c>
    </row>
    <row r="15" spans="1:16" x14ac:dyDescent="0.2">
      <c r="A15" s="24" t="s">
        <v>86</v>
      </c>
      <c r="E15">
        <v>3750</v>
      </c>
      <c r="F15" t="s">
        <v>1</v>
      </c>
      <c r="H15" s="87">
        <v>1</v>
      </c>
      <c r="I15" t="s">
        <v>96</v>
      </c>
      <c r="K15" s="87" t="s">
        <v>12</v>
      </c>
      <c r="L15" s="87"/>
      <c r="N15" s="4">
        <f>ROUND(E15*E17/9,-2)</f>
        <v>8300</v>
      </c>
      <c r="O15" s="56">
        <v>56</v>
      </c>
      <c r="P15" s="7">
        <f t="shared" ref="P15:P20" si="0">ROUND(N15*O15,-3)</f>
        <v>465000</v>
      </c>
    </row>
    <row r="16" spans="1:16" x14ac:dyDescent="0.2">
      <c r="A16" t="s">
        <v>94</v>
      </c>
      <c r="H16" s="87">
        <f>H15+1</f>
        <v>2</v>
      </c>
      <c r="I16" t="s">
        <v>89</v>
      </c>
      <c r="K16" s="87" t="s">
        <v>12</v>
      </c>
      <c r="L16" s="87"/>
      <c r="N16" s="4">
        <f>ROUND(E15*E18/9,-2)</f>
        <v>10000</v>
      </c>
      <c r="O16" s="56">
        <v>8.24</v>
      </c>
      <c r="P16" s="7">
        <f t="shared" si="0"/>
        <v>82000</v>
      </c>
    </row>
    <row r="17" spans="1:16" x14ac:dyDescent="0.2">
      <c r="B17" t="s">
        <v>109</v>
      </c>
      <c r="E17">
        <v>20</v>
      </c>
      <c r="F17" t="s">
        <v>1</v>
      </c>
      <c r="H17" s="87">
        <f>H16+1</f>
        <v>3</v>
      </c>
      <c r="I17" t="s">
        <v>95</v>
      </c>
      <c r="K17" s="87" t="s">
        <v>12</v>
      </c>
      <c r="L17" s="87"/>
      <c r="N17" s="4">
        <f>ROUND(E15*E19/9,-2)</f>
        <v>4200</v>
      </c>
      <c r="O17" s="56">
        <v>24</v>
      </c>
      <c r="P17" s="7">
        <f t="shared" si="0"/>
        <v>101000</v>
      </c>
    </row>
    <row r="18" spans="1:16" x14ac:dyDescent="0.2">
      <c r="B18" t="s">
        <v>89</v>
      </c>
      <c r="E18">
        <v>24</v>
      </c>
      <c r="F18" t="s">
        <v>1</v>
      </c>
      <c r="H18" s="87">
        <f t="shared" ref="H18:H20" si="1">H17+1</f>
        <v>4</v>
      </c>
      <c r="I18" t="s">
        <v>8</v>
      </c>
      <c r="K18" s="87" t="s">
        <v>9</v>
      </c>
      <c r="L18" s="87"/>
      <c r="N18" s="4">
        <f>E31</f>
        <v>8200</v>
      </c>
      <c r="O18" s="56">
        <v>20</v>
      </c>
      <c r="P18" s="7">
        <f t="shared" si="0"/>
        <v>164000</v>
      </c>
    </row>
    <row r="19" spans="1:16" x14ac:dyDescent="0.2">
      <c r="B19" t="s">
        <v>95</v>
      </c>
      <c r="E19">
        <v>10</v>
      </c>
      <c r="F19" t="s">
        <v>1</v>
      </c>
      <c r="H19" s="87">
        <f t="shared" si="1"/>
        <v>5</v>
      </c>
      <c r="I19" s="24" t="s">
        <v>192</v>
      </c>
      <c r="K19" s="87" t="s">
        <v>11</v>
      </c>
      <c r="L19" s="87"/>
      <c r="N19" s="4">
        <f>(E15)</f>
        <v>3750</v>
      </c>
      <c r="O19" s="56">
        <v>20</v>
      </c>
      <c r="P19" s="7">
        <f t="shared" si="0"/>
        <v>75000</v>
      </c>
    </row>
    <row r="20" spans="1:16" x14ac:dyDescent="0.2">
      <c r="H20" s="87">
        <f t="shared" si="1"/>
        <v>6</v>
      </c>
      <c r="I20" t="s">
        <v>111</v>
      </c>
      <c r="K20" s="87" t="s">
        <v>10</v>
      </c>
      <c r="L20" s="84">
        <v>0</v>
      </c>
      <c r="M20" t="s">
        <v>66</v>
      </c>
      <c r="N20" s="4">
        <f>E15*L20</f>
        <v>0</v>
      </c>
      <c r="O20" s="56">
        <v>6.8</v>
      </c>
      <c r="P20" s="7">
        <f t="shared" si="0"/>
        <v>0</v>
      </c>
    </row>
    <row r="22" spans="1:16" x14ac:dyDescent="0.2">
      <c r="A22" t="s">
        <v>87</v>
      </c>
      <c r="D22" s="24" t="s">
        <v>156</v>
      </c>
      <c r="H22" s="92">
        <f>H20+1</f>
        <v>7</v>
      </c>
      <c r="I22" s="24" t="s">
        <v>161</v>
      </c>
      <c r="K22" s="94" t="s">
        <v>11</v>
      </c>
      <c r="L22" s="95">
        <v>100</v>
      </c>
      <c r="M22" s="24" t="s">
        <v>162</v>
      </c>
      <c r="N22" s="4">
        <v>100</v>
      </c>
      <c r="O22" s="96">
        <f>1200*2</f>
        <v>2400</v>
      </c>
      <c r="P22" s="7">
        <f t="shared" ref="P22" si="2">ROUND(N22*O22,-3)</f>
        <v>240000</v>
      </c>
    </row>
    <row r="23" spans="1:16" x14ac:dyDescent="0.2">
      <c r="D23" s="24" t="s">
        <v>157</v>
      </c>
      <c r="H23" s="87">
        <f>H22+1</f>
        <v>8</v>
      </c>
      <c r="I23" s="24" t="s">
        <v>83</v>
      </c>
      <c r="K23" s="87" t="s">
        <v>32</v>
      </c>
      <c r="L23" s="87"/>
      <c r="N23" s="4">
        <v>0</v>
      </c>
      <c r="O23" s="6">
        <v>300000</v>
      </c>
      <c r="P23" s="7">
        <f>ROUND(N23*O23,-3)</f>
        <v>0</v>
      </c>
    </row>
    <row r="24" spans="1:16" x14ac:dyDescent="0.2">
      <c r="H24" s="87">
        <f t="shared" ref="H24:H30" si="3">H23+1</f>
        <v>9</v>
      </c>
      <c r="I24" s="24" t="s">
        <v>90</v>
      </c>
      <c r="K24" s="87" t="s">
        <v>14</v>
      </c>
      <c r="L24" s="8">
        <v>0.3</v>
      </c>
      <c r="M24" s="24" t="s">
        <v>112</v>
      </c>
      <c r="O24" s="5" t="s">
        <v>15</v>
      </c>
      <c r="P24" s="7">
        <f t="shared" ref="P24:P30" si="4">ROUND(SUM(P$15:P$20)*L24,-3)</f>
        <v>266000</v>
      </c>
    </row>
    <row r="25" spans="1:16" x14ac:dyDescent="0.2">
      <c r="A25" t="s">
        <v>8</v>
      </c>
      <c r="H25" s="87">
        <f t="shared" si="3"/>
        <v>10</v>
      </c>
      <c r="I25" t="s">
        <v>13</v>
      </c>
      <c r="K25" s="87" t="s">
        <v>14</v>
      </c>
      <c r="L25" s="8">
        <v>0.45</v>
      </c>
      <c r="M25" s="24" t="s">
        <v>112</v>
      </c>
      <c r="O25" s="5" t="s">
        <v>15</v>
      </c>
      <c r="P25" s="7">
        <f t="shared" si="4"/>
        <v>399000</v>
      </c>
    </row>
    <row r="26" spans="1:16" x14ac:dyDescent="0.2">
      <c r="B26" t="s">
        <v>25</v>
      </c>
      <c r="E26">
        <f>E15</f>
        <v>3750</v>
      </c>
      <c r="F26" t="s">
        <v>1</v>
      </c>
      <c r="H26" s="87">
        <f t="shared" si="3"/>
        <v>11</v>
      </c>
      <c r="I26" t="s">
        <v>16</v>
      </c>
      <c r="K26" s="87" t="s">
        <v>14</v>
      </c>
      <c r="L26" s="8">
        <v>0.15</v>
      </c>
      <c r="M26" s="24" t="s">
        <v>112</v>
      </c>
      <c r="O26" s="5" t="s">
        <v>15</v>
      </c>
      <c r="P26" s="7">
        <f t="shared" si="4"/>
        <v>133000</v>
      </c>
    </row>
    <row r="27" spans="1:16" x14ac:dyDescent="0.2">
      <c r="B27" t="s">
        <v>98</v>
      </c>
      <c r="E27">
        <v>43</v>
      </c>
      <c r="F27" t="s">
        <v>1</v>
      </c>
      <c r="H27" s="87">
        <f t="shared" si="3"/>
        <v>12</v>
      </c>
      <c r="I27" t="s">
        <v>17</v>
      </c>
      <c r="K27" s="87" t="s">
        <v>14</v>
      </c>
      <c r="L27" s="8">
        <v>0.3</v>
      </c>
      <c r="M27" s="24" t="s">
        <v>112</v>
      </c>
      <c r="O27" s="5" t="s">
        <v>15</v>
      </c>
      <c r="P27" s="7">
        <f t="shared" si="4"/>
        <v>266000</v>
      </c>
    </row>
    <row r="28" spans="1:16" x14ac:dyDescent="0.2">
      <c r="B28" t="s">
        <v>61</v>
      </c>
      <c r="E28">
        <f>E27+(4*E29*3+4)</f>
        <v>59</v>
      </c>
      <c r="F28" t="s">
        <v>1</v>
      </c>
      <c r="H28" s="87">
        <f t="shared" si="3"/>
        <v>13</v>
      </c>
      <c r="I28" t="s">
        <v>18</v>
      </c>
      <c r="K28" s="87" t="s">
        <v>14</v>
      </c>
      <c r="L28" s="32">
        <v>1.4999999999999999E-2</v>
      </c>
      <c r="M28" s="24" t="s">
        <v>112</v>
      </c>
      <c r="O28" s="5" t="s">
        <v>15</v>
      </c>
      <c r="P28" s="7">
        <f t="shared" si="4"/>
        <v>13000</v>
      </c>
    </row>
    <row r="29" spans="1:16" x14ac:dyDescent="0.2">
      <c r="B29" t="s">
        <v>62</v>
      </c>
      <c r="E29" s="14">
        <v>1</v>
      </c>
      <c r="F29" t="s">
        <v>1</v>
      </c>
      <c r="H29" s="87">
        <f t="shared" si="3"/>
        <v>14</v>
      </c>
      <c r="I29" t="s">
        <v>31</v>
      </c>
      <c r="K29" s="87" t="s">
        <v>14</v>
      </c>
      <c r="L29" s="8">
        <v>0</v>
      </c>
      <c r="M29" s="24" t="s">
        <v>112</v>
      </c>
      <c r="O29" s="5" t="s">
        <v>15</v>
      </c>
      <c r="P29" s="7">
        <f t="shared" si="4"/>
        <v>0</v>
      </c>
    </row>
    <row r="30" spans="1:16" x14ac:dyDescent="0.2">
      <c r="B30" t="s">
        <v>63</v>
      </c>
      <c r="E30">
        <f>E28*E29</f>
        <v>59</v>
      </c>
      <c r="F30" t="s">
        <v>10</v>
      </c>
      <c r="H30" s="87">
        <f t="shared" si="3"/>
        <v>15</v>
      </c>
      <c r="I30" t="s">
        <v>19</v>
      </c>
      <c r="K30" s="87" t="s">
        <v>14</v>
      </c>
      <c r="L30" s="8">
        <v>0.3</v>
      </c>
      <c r="M30" s="24" t="s">
        <v>112</v>
      </c>
      <c r="O30" s="5" t="s">
        <v>15</v>
      </c>
      <c r="P30" s="7">
        <f t="shared" si="4"/>
        <v>266000</v>
      </c>
    </row>
    <row r="31" spans="1:16" x14ac:dyDescent="0.2">
      <c r="B31" t="s">
        <v>64</v>
      </c>
      <c r="E31" s="54">
        <f>ROUND((E30*E26)/27,-2)</f>
        <v>8200</v>
      </c>
      <c r="F31" s="53" t="s">
        <v>9</v>
      </c>
      <c r="M31" s="24"/>
    </row>
    <row r="32" spans="1:16" x14ac:dyDescent="0.2">
      <c r="H32" s="87">
        <f>H30+1</f>
        <v>16</v>
      </c>
      <c r="I32" t="s">
        <v>20</v>
      </c>
      <c r="K32" s="87" t="s">
        <v>14</v>
      </c>
      <c r="L32" s="8">
        <v>0.2</v>
      </c>
      <c r="M32" s="24" t="s">
        <v>112</v>
      </c>
      <c r="O32" s="5" t="s">
        <v>15</v>
      </c>
      <c r="P32" s="7">
        <f>ROUND(SUM(P$15:P$20)*L32,-3)</f>
        <v>177000</v>
      </c>
    </row>
    <row r="34" spans="1:18" x14ac:dyDescent="0.2">
      <c r="A34" t="s">
        <v>27</v>
      </c>
      <c r="E34" t="s">
        <v>22</v>
      </c>
      <c r="F34" t="s">
        <v>22</v>
      </c>
      <c r="H34" s="87">
        <f>H32+1</f>
        <v>17</v>
      </c>
      <c r="I34" t="s">
        <v>36</v>
      </c>
      <c r="K34" s="87" t="s">
        <v>14</v>
      </c>
      <c r="L34" s="8">
        <v>0.15</v>
      </c>
      <c r="M34" s="24" t="s">
        <v>108</v>
      </c>
      <c r="O34" s="5" t="s">
        <v>15</v>
      </c>
      <c r="P34" s="7">
        <f>ROUND(SUM(P15:P32)*L34,-3)</f>
        <v>397000</v>
      </c>
    </row>
    <row r="35" spans="1:18" x14ac:dyDescent="0.2">
      <c r="A35" t="s">
        <v>22</v>
      </c>
      <c r="B35" t="s">
        <v>110</v>
      </c>
      <c r="E35" s="79">
        <v>81</v>
      </c>
      <c r="F35" t="s">
        <v>1</v>
      </c>
      <c r="L35" s="8"/>
      <c r="O35" s="5"/>
      <c r="P35" s="7"/>
    </row>
    <row r="36" spans="1:18" x14ac:dyDescent="0.2">
      <c r="B36" t="s">
        <v>70</v>
      </c>
      <c r="E36">
        <v>81</v>
      </c>
      <c r="F36" t="s">
        <v>1</v>
      </c>
      <c r="H36" s="87">
        <f>H34+1</f>
        <v>18</v>
      </c>
      <c r="I36" t="s">
        <v>28</v>
      </c>
      <c r="K36" s="87" t="s">
        <v>24</v>
      </c>
      <c r="M36" s="24" t="s">
        <v>22</v>
      </c>
      <c r="N36" s="15">
        <f>E39</f>
        <v>0.8</v>
      </c>
      <c r="O36" s="6">
        <v>60000</v>
      </c>
      <c r="P36" s="7">
        <f>ROUND(N36*O36,-3)</f>
        <v>48000</v>
      </c>
    </row>
    <row r="37" spans="1:18" x14ac:dyDescent="0.2">
      <c r="B37" t="s">
        <v>69</v>
      </c>
      <c r="E37">
        <v>90</v>
      </c>
      <c r="F37" t="s">
        <v>1</v>
      </c>
      <c r="H37" s="87">
        <f>H36+1</f>
        <v>19</v>
      </c>
      <c r="I37" t="s">
        <v>23</v>
      </c>
      <c r="K37" s="87"/>
      <c r="O37" s="6">
        <v>0</v>
      </c>
      <c r="P37" s="7">
        <f>ROUND(N37*O37,-3)</f>
        <v>0</v>
      </c>
    </row>
    <row r="38" spans="1:18" x14ac:dyDescent="0.2">
      <c r="B38" t="s">
        <v>25</v>
      </c>
      <c r="E38">
        <f>E15</f>
        <v>3750</v>
      </c>
      <c r="F38" t="s">
        <v>1</v>
      </c>
      <c r="H38" s="87">
        <f>H37+1</f>
        <v>20</v>
      </c>
      <c r="I38" s="24" t="s">
        <v>72</v>
      </c>
      <c r="K38" s="87" t="s">
        <v>11</v>
      </c>
      <c r="N38" s="4">
        <f>E15</f>
        <v>3750</v>
      </c>
      <c r="O38" s="6">
        <v>75</v>
      </c>
      <c r="P38" s="7">
        <f>ROUND(N38*O38,-3)</f>
        <v>281000</v>
      </c>
    </row>
    <row r="39" spans="1:18" x14ac:dyDescent="0.2">
      <c r="B39" t="s">
        <v>65</v>
      </c>
      <c r="E39" s="14">
        <f>ROUND(((E37-E35)*E38)/43560,1)</f>
        <v>0.8</v>
      </c>
      <c r="F39" t="s">
        <v>24</v>
      </c>
    </row>
    <row r="40" spans="1:18" x14ac:dyDescent="0.2">
      <c r="E40" s="14"/>
      <c r="H40" s="13">
        <f>H38+1</f>
        <v>21</v>
      </c>
      <c r="I40" s="11" t="s">
        <v>21</v>
      </c>
      <c r="J40" s="11"/>
      <c r="K40" s="13" t="s">
        <v>14</v>
      </c>
      <c r="L40" s="16">
        <v>0.3</v>
      </c>
      <c r="M40" s="57" t="s">
        <v>113</v>
      </c>
      <c r="N40" s="11"/>
      <c r="O40" s="17" t="s">
        <v>15</v>
      </c>
      <c r="P40" s="18">
        <f>ROUND(SUM(P15:P38)*L40,-4)</f>
        <v>1010000</v>
      </c>
    </row>
    <row r="41" spans="1:18" ht="15.75" x14ac:dyDescent="0.25">
      <c r="A41" s="29" t="s">
        <v>40</v>
      </c>
      <c r="E41" s="14"/>
      <c r="H41" s="28" t="s">
        <v>41</v>
      </c>
      <c r="I41" s="20"/>
      <c r="J41" s="20"/>
      <c r="K41" s="87"/>
      <c r="P41" s="26">
        <f>ROUND(SUM(P15:P40),-4)</f>
        <v>4380000</v>
      </c>
    </row>
    <row r="43" spans="1:18" x14ac:dyDescent="0.2">
      <c r="A43" s="19" t="s">
        <v>26</v>
      </c>
      <c r="B43" t="s">
        <v>88</v>
      </c>
      <c r="H43" s="87" t="s">
        <v>42</v>
      </c>
      <c r="I43" s="24" t="s">
        <v>67</v>
      </c>
      <c r="L43" s="8">
        <v>0.2</v>
      </c>
      <c r="M43" t="s">
        <v>37</v>
      </c>
      <c r="O43" s="24"/>
      <c r="P43" s="7">
        <f>ROUND((P34)*L43,-3)</f>
        <v>79000</v>
      </c>
      <c r="Q43" s="147" t="s">
        <v>48</v>
      </c>
      <c r="R43" s="147"/>
    </row>
    <row r="44" spans="1:18" x14ac:dyDescent="0.2">
      <c r="A44" s="19"/>
      <c r="H44" s="87" t="s">
        <v>43</v>
      </c>
      <c r="I44" s="24" t="s">
        <v>36</v>
      </c>
      <c r="J44" s="24"/>
      <c r="K44" s="24"/>
      <c r="L44" s="24"/>
      <c r="M44" s="24"/>
      <c r="N44" s="24"/>
      <c r="O44" s="24"/>
      <c r="P44" s="25">
        <f>P34</f>
        <v>397000</v>
      </c>
      <c r="Q44" s="147" t="s">
        <v>48</v>
      </c>
      <c r="R44" s="147"/>
    </row>
    <row r="45" spans="1:18" x14ac:dyDescent="0.2">
      <c r="H45" s="87" t="s">
        <v>44</v>
      </c>
      <c r="I45" s="24" t="s">
        <v>73</v>
      </c>
      <c r="J45" s="24"/>
      <c r="K45" s="24"/>
      <c r="L45" s="24"/>
      <c r="M45" s="24"/>
      <c r="N45" s="24"/>
      <c r="O45" s="24"/>
      <c r="P45" s="25">
        <f>ROUND((P36+P37+P38),-3)</f>
        <v>329000</v>
      </c>
      <c r="Q45" s="147" t="s">
        <v>48</v>
      </c>
      <c r="R45" s="147"/>
    </row>
    <row r="46" spans="1:18" x14ac:dyDescent="0.2">
      <c r="H46" s="87" t="s">
        <v>45</v>
      </c>
      <c r="I46" s="24" t="s">
        <v>33</v>
      </c>
      <c r="J46" s="24"/>
      <c r="K46" s="24"/>
      <c r="L46" s="24"/>
      <c r="M46" s="24"/>
      <c r="N46" s="24"/>
      <c r="O46" s="24"/>
      <c r="P46" s="25">
        <f>ROUND(SUM(P15:P32),-3)</f>
        <v>2647000</v>
      </c>
      <c r="Q46" s="147" t="s">
        <v>48</v>
      </c>
      <c r="R46" s="147"/>
    </row>
    <row r="47" spans="1:18" x14ac:dyDescent="0.2">
      <c r="H47" s="30" t="s">
        <v>46</v>
      </c>
      <c r="I47" s="21" t="s">
        <v>34</v>
      </c>
      <c r="J47" s="21"/>
      <c r="K47" s="21"/>
      <c r="L47" s="22">
        <v>7.0000000000000007E-2</v>
      </c>
      <c r="M47" s="21" t="s">
        <v>38</v>
      </c>
      <c r="N47" s="21"/>
      <c r="O47" s="21"/>
      <c r="P47" s="23">
        <f>ROUND(P46*L47,-3)</f>
        <v>185000</v>
      </c>
      <c r="Q47" s="147" t="s">
        <v>48</v>
      </c>
      <c r="R47" s="147"/>
    </row>
    <row r="48" spans="1:18" x14ac:dyDescent="0.2">
      <c r="H48" s="13" t="s">
        <v>47</v>
      </c>
      <c r="I48" s="31" t="s">
        <v>21</v>
      </c>
      <c r="J48" s="11"/>
      <c r="K48" s="11"/>
      <c r="L48" s="16">
        <f>L40</f>
        <v>0.3</v>
      </c>
      <c r="M48" s="57" t="s">
        <v>49</v>
      </c>
      <c r="N48" s="11"/>
      <c r="O48" s="11"/>
      <c r="P48" s="18">
        <f>ROUND(SUM(P43:P47)*L48,-4)</f>
        <v>1090000</v>
      </c>
    </row>
    <row r="50" spans="8:16" ht="15.75" x14ac:dyDescent="0.25">
      <c r="H50" s="2" t="s">
        <v>39</v>
      </c>
      <c r="O50" s="145">
        <f>ROUND(SUM(P43:P48),-4)</f>
        <v>4730000</v>
      </c>
      <c r="P50" s="145"/>
    </row>
  </sheetData>
  <mergeCells count="7">
    <mergeCell ref="O50:P50"/>
    <mergeCell ref="A8:C8"/>
    <mergeCell ref="Q43:R43"/>
    <mergeCell ref="Q44:R44"/>
    <mergeCell ref="Q45:R45"/>
    <mergeCell ref="Q46:R46"/>
    <mergeCell ref="Q47:R47"/>
  </mergeCells>
  <pageMargins left="0.75" right="0.75" top="1" bottom="1" header="0.5" footer="0.5"/>
  <pageSetup paperSize="17" scale="69" orientation="landscape" r:id="rId1"/>
  <headerFooter alignWithMargins="0">
    <oddFooter>&amp;A</oddFooter>
  </headerFooter>
  <ignoredErrors>
    <ignoredError sqref="A4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76A7-CAA3-49C0-8C75-D8DCC128B4CE}">
  <sheetPr>
    <pageSetUpPr fitToPage="1"/>
  </sheetPr>
  <dimension ref="A1:R46"/>
  <sheetViews>
    <sheetView topLeftCell="A13" zoomScale="120" zoomScaleNormal="120" workbookViewId="0">
      <selection activeCell="L26" sqref="L26"/>
    </sheetView>
  </sheetViews>
  <sheetFormatPr defaultRowHeight="12.75" x14ac:dyDescent="0.2"/>
  <cols>
    <col min="1" max="1" width="4.7109375" customWidth="1"/>
    <col min="11" max="11" width="12.7109375" customWidth="1"/>
    <col min="12" max="12" width="6.7109375" customWidth="1"/>
    <col min="13" max="16" width="12.7109375" customWidth="1"/>
  </cols>
  <sheetData>
    <row r="1" spans="1:16" ht="26.25" x14ac:dyDescent="0.4">
      <c r="A1" s="27" t="s">
        <v>141</v>
      </c>
    </row>
    <row r="2" spans="1:16" ht="20.25" x14ac:dyDescent="0.3">
      <c r="A2" s="91" t="s">
        <v>140</v>
      </c>
    </row>
    <row r="3" spans="1:16" ht="20.25" customHeight="1" x14ac:dyDescent="0.35">
      <c r="A3" s="34"/>
    </row>
    <row r="4" spans="1:16" ht="20.25" x14ac:dyDescent="0.3">
      <c r="A4" s="1" t="s">
        <v>145</v>
      </c>
      <c r="E4" s="33" t="s">
        <v>126</v>
      </c>
      <c r="J4" s="90" t="s">
        <v>132</v>
      </c>
      <c r="K4" s="2" t="s">
        <v>137</v>
      </c>
      <c r="L4" s="2"/>
      <c r="M4" s="90" t="s">
        <v>133</v>
      </c>
      <c r="N4" s="2" t="s">
        <v>143</v>
      </c>
    </row>
    <row r="5" spans="1:16" ht="20.25" x14ac:dyDescent="0.3">
      <c r="A5" s="1" t="s">
        <v>84</v>
      </c>
      <c r="E5" s="33" t="s">
        <v>89</v>
      </c>
      <c r="N5" s="93" t="s">
        <v>155</v>
      </c>
    </row>
    <row r="6" spans="1:16" ht="12.75" customHeight="1" x14ac:dyDescent="0.3">
      <c r="A6" s="1"/>
    </row>
    <row r="7" spans="1:16" ht="12.75" customHeight="1" x14ac:dyDescent="0.2"/>
    <row r="8" spans="1:16" ht="15.75" x14ac:dyDescent="0.25">
      <c r="A8" s="146">
        <f ca="1">TODAY()</f>
        <v>44498</v>
      </c>
      <c r="B8" s="146"/>
      <c r="C8" s="146"/>
    </row>
    <row r="10" spans="1:16" ht="20.25" x14ac:dyDescent="0.3">
      <c r="A10" s="1" t="s">
        <v>60</v>
      </c>
    </row>
    <row r="11" spans="1:16" x14ac:dyDescent="0.2">
      <c r="A11" t="s">
        <v>59</v>
      </c>
    </row>
    <row r="13" spans="1:16" ht="12.75" customHeight="1" x14ac:dyDescent="0.25">
      <c r="A13" s="2"/>
    </row>
    <row r="14" spans="1:16" ht="12.75" customHeight="1" x14ac:dyDescent="0.2">
      <c r="A14" s="10" t="s">
        <v>29</v>
      </c>
      <c r="B14" s="11"/>
      <c r="C14" s="11"/>
      <c r="D14" s="11"/>
      <c r="E14" s="11"/>
      <c r="F14" s="11"/>
      <c r="G14" s="11"/>
      <c r="H14" s="9" t="s">
        <v>2</v>
      </c>
      <c r="I14" s="10" t="s">
        <v>3</v>
      </c>
      <c r="J14" s="10"/>
      <c r="K14" s="9" t="s">
        <v>4</v>
      </c>
      <c r="L14" s="9"/>
      <c r="M14" s="11"/>
      <c r="N14" s="9" t="s">
        <v>5</v>
      </c>
      <c r="O14" s="9" t="s">
        <v>6</v>
      </c>
      <c r="P14" s="12" t="s">
        <v>7</v>
      </c>
    </row>
    <row r="15" spans="1:16" x14ac:dyDescent="0.2">
      <c r="A15" s="24" t="s">
        <v>128</v>
      </c>
      <c r="E15">
        <v>3140</v>
      </c>
      <c r="F15" t="s">
        <v>1</v>
      </c>
      <c r="H15" s="87">
        <v>1</v>
      </c>
      <c r="I15" t="s">
        <v>89</v>
      </c>
      <c r="K15" s="87" t="s">
        <v>12</v>
      </c>
      <c r="L15" s="87"/>
      <c r="N15" s="4">
        <f>ROUND(E15*E17/9,-2)</f>
        <v>9100</v>
      </c>
      <c r="O15" s="56">
        <v>8.24</v>
      </c>
      <c r="P15" s="7">
        <f>ROUND(N15*O15,-3)</f>
        <v>75000</v>
      </c>
    </row>
    <row r="16" spans="1:16" x14ac:dyDescent="0.2">
      <c r="A16" s="24" t="s">
        <v>0</v>
      </c>
      <c r="H16" s="87">
        <v>2</v>
      </c>
      <c r="I16" t="s">
        <v>8</v>
      </c>
      <c r="K16" s="87" t="s">
        <v>9</v>
      </c>
      <c r="L16" s="87"/>
      <c r="N16" s="4">
        <f>E27</f>
        <v>0</v>
      </c>
      <c r="O16" s="56">
        <v>20</v>
      </c>
      <c r="P16" s="7">
        <f>ROUND(N16*O16,-3)</f>
        <v>0</v>
      </c>
    </row>
    <row r="17" spans="1:16" x14ac:dyDescent="0.2">
      <c r="B17" t="s">
        <v>89</v>
      </c>
      <c r="E17">
        <v>26</v>
      </c>
      <c r="F17" t="s">
        <v>1</v>
      </c>
    </row>
    <row r="19" spans="1:16" x14ac:dyDescent="0.2">
      <c r="A19" t="s">
        <v>87</v>
      </c>
      <c r="D19" t="s">
        <v>115</v>
      </c>
      <c r="H19" s="87">
        <f>H16+1</f>
        <v>3</v>
      </c>
      <c r="I19" s="24" t="s">
        <v>83</v>
      </c>
      <c r="K19" s="87" t="s">
        <v>32</v>
      </c>
      <c r="L19" s="87"/>
      <c r="N19" s="4">
        <v>0</v>
      </c>
      <c r="O19" s="6">
        <v>300000</v>
      </c>
      <c r="P19" s="7">
        <f>ROUND(N19*O19,-3)</f>
        <v>0</v>
      </c>
    </row>
    <row r="20" spans="1:16" x14ac:dyDescent="0.2">
      <c r="H20" s="87">
        <f t="shared" ref="H20:H26" si="0">H19+1</f>
        <v>4</v>
      </c>
      <c r="I20" s="24" t="s">
        <v>90</v>
      </c>
      <c r="K20" s="87" t="s">
        <v>14</v>
      </c>
      <c r="L20" s="8">
        <v>0.3</v>
      </c>
      <c r="M20" s="24" t="s">
        <v>119</v>
      </c>
      <c r="O20" s="5" t="s">
        <v>15</v>
      </c>
      <c r="P20" s="7">
        <f t="shared" ref="P20:P26" si="1">ROUND(SUM(P$15:P$16)*L20,-3)</f>
        <v>23000</v>
      </c>
    </row>
    <row r="21" spans="1:16" x14ac:dyDescent="0.2">
      <c r="A21" t="s">
        <v>8</v>
      </c>
      <c r="H21" s="87">
        <f t="shared" si="0"/>
        <v>5</v>
      </c>
      <c r="I21" t="s">
        <v>13</v>
      </c>
      <c r="K21" s="87" t="s">
        <v>14</v>
      </c>
      <c r="L21" s="8">
        <v>0.3</v>
      </c>
      <c r="M21" s="24" t="s">
        <v>119</v>
      </c>
      <c r="O21" s="5" t="s">
        <v>15</v>
      </c>
      <c r="P21" s="7">
        <f t="shared" si="1"/>
        <v>23000</v>
      </c>
    </row>
    <row r="22" spans="1:16" x14ac:dyDescent="0.2">
      <c r="B22" t="s">
        <v>25</v>
      </c>
      <c r="E22">
        <f>E15</f>
        <v>3140</v>
      </c>
      <c r="F22" t="s">
        <v>1</v>
      </c>
      <c r="H22" s="87">
        <f t="shared" si="0"/>
        <v>6</v>
      </c>
      <c r="I22" t="s">
        <v>16</v>
      </c>
      <c r="K22" s="87" t="s">
        <v>14</v>
      </c>
      <c r="L22" s="8">
        <v>0.15</v>
      </c>
      <c r="M22" s="24" t="s">
        <v>119</v>
      </c>
      <c r="O22" s="5" t="s">
        <v>15</v>
      </c>
      <c r="P22" s="7">
        <f t="shared" si="1"/>
        <v>11000</v>
      </c>
    </row>
    <row r="23" spans="1:16" x14ac:dyDescent="0.2">
      <c r="B23" t="s">
        <v>121</v>
      </c>
      <c r="E23">
        <v>0</v>
      </c>
      <c r="F23" t="s">
        <v>1</v>
      </c>
      <c r="H23" s="87">
        <f t="shared" si="0"/>
        <v>7</v>
      </c>
      <c r="I23" t="s">
        <v>17</v>
      </c>
      <c r="K23" s="87" t="s">
        <v>14</v>
      </c>
      <c r="L23" s="8">
        <v>0.3</v>
      </c>
      <c r="M23" s="24" t="s">
        <v>119</v>
      </c>
      <c r="O23" s="5" t="s">
        <v>15</v>
      </c>
      <c r="P23" s="7">
        <f t="shared" si="1"/>
        <v>23000</v>
      </c>
    </row>
    <row r="24" spans="1:16" x14ac:dyDescent="0.2">
      <c r="B24" t="s">
        <v>122</v>
      </c>
      <c r="E24">
        <v>0</v>
      </c>
      <c r="F24" t="s">
        <v>1</v>
      </c>
      <c r="H24" s="87">
        <f t="shared" si="0"/>
        <v>8</v>
      </c>
      <c r="I24" t="s">
        <v>18</v>
      </c>
      <c r="K24" s="87" t="s">
        <v>14</v>
      </c>
      <c r="L24" s="32">
        <v>1.4999999999999999E-2</v>
      </c>
      <c r="M24" s="24" t="s">
        <v>119</v>
      </c>
      <c r="O24" s="5" t="s">
        <v>15</v>
      </c>
      <c r="P24" s="7">
        <f t="shared" si="1"/>
        <v>1000</v>
      </c>
    </row>
    <row r="25" spans="1:16" x14ac:dyDescent="0.2">
      <c r="B25" t="s">
        <v>123</v>
      </c>
      <c r="E25" s="14">
        <v>0</v>
      </c>
      <c r="F25" t="s">
        <v>1</v>
      </c>
      <c r="H25" s="87">
        <f t="shared" si="0"/>
        <v>9</v>
      </c>
      <c r="I25" t="s">
        <v>31</v>
      </c>
      <c r="K25" s="87" t="s">
        <v>14</v>
      </c>
      <c r="L25" s="8">
        <v>0</v>
      </c>
      <c r="M25" s="24" t="s">
        <v>119</v>
      </c>
      <c r="O25" s="5" t="s">
        <v>15</v>
      </c>
      <c r="P25" s="7">
        <f t="shared" si="1"/>
        <v>0</v>
      </c>
    </row>
    <row r="26" spans="1:16" x14ac:dyDescent="0.2">
      <c r="B26" t="s">
        <v>63</v>
      </c>
      <c r="E26">
        <f>E24*E25</f>
        <v>0</v>
      </c>
      <c r="F26" t="s">
        <v>10</v>
      </c>
      <c r="H26" s="87">
        <f t="shared" si="0"/>
        <v>10</v>
      </c>
      <c r="I26" t="s">
        <v>19</v>
      </c>
      <c r="K26" s="87" t="s">
        <v>14</v>
      </c>
      <c r="L26" s="8">
        <v>0.3</v>
      </c>
      <c r="M26" s="24" t="s">
        <v>119</v>
      </c>
      <c r="O26" s="5" t="s">
        <v>15</v>
      </c>
      <c r="P26" s="7">
        <f t="shared" si="1"/>
        <v>23000</v>
      </c>
    </row>
    <row r="27" spans="1:16" x14ac:dyDescent="0.2">
      <c r="B27" t="s">
        <v>64</v>
      </c>
      <c r="E27" s="54">
        <f>ROUND((E26*E22)/27,-2)</f>
        <v>0</v>
      </c>
      <c r="F27" s="53" t="s">
        <v>9</v>
      </c>
      <c r="M27" s="24" t="s">
        <v>22</v>
      </c>
    </row>
    <row r="28" spans="1:16" x14ac:dyDescent="0.2">
      <c r="H28" s="87">
        <f>H26+1</f>
        <v>11</v>
      </c>
      <c r="I28" t="s">
        <v>20</v>
      </c>
      <c r="K28" s="87" t="s">
        <v>14</v>
      </c>
      <c r="L28" s="8">
        <v>0.15</v>
      </c>
      <c r="M28" s="24" t="s">
        <v>119</v>
      </c>
      <c r="O28" s="5" t="s">
        <v>15</v>
      </c>
      <c r="P28" s="7">
        <f>ROUND(SUM(P$15:P$16)*L28,-3)</f>
        <v>11000</v>
      </c>
    </row>
    <row r="30" spans="1:16" x14ac:dyDescent="0.2">
      <c r="A30" t="s">
        <v>27</v>
      </c>
      <c r="E30" t="s">
        <v>22</v>
      </c>
      <c r="F30" t="s">
        <v>22</v>
      </c>
      <c r="H30" s="87">
        <f>H28+1</f>
        <v>12</v>
      </c>
      <c r="I30" t="s">
        <v>36</v>
      </c>
      <c r="K30" s="87" t="s">
        <v>14</v>
      </c>
      <c r="L30" s="8">
        <v>0.15</v>
      </c>
      <c r="M30" s="24" t="s">
        <v>120</v>
      </c>
      <c r="O30" s="5" t="s">
        <v>15</v>
      </c>
      <c r="P30" s="7">
        <f>ROUND(SUM(P15:P28)*L30,-3)</f>
        <v>29000</v>
      </c>
    </row>
    <row r="31" spans="1:16" x14ac:dyDescent="0.2">
      <c r="A31" t="s">
        <v>22</v>
      </c>
      <c r="B31" t="s">
        <v>116</v>
      </c>
      <c r="E31" s="79">
        <v>30</v>
      </c>
      <c r="F31" t="s">
        <v>1</v>
      </c>
      <c r="L31" s="8"/>
      <c r="O31" s="5"/>
      <c r="P31" s="7"/>
    </row>
    <row r="32" spans="1:16" x14ac:dyDescent="0.2">
      <c r="B32" t="s">
        <v>117</v>
      </c>
      <c r="E32">
        <v>30</v>
      </c>
      <c r="F32" t="s">
        <v>1</v>
      </c>
      <c r="H32" s="87">
        <f>H30+1</f>
        <v>13</v>
      </c>
      <c r="I32" t="s">
        <v>28</v>
      </c>
      <c r="K32" s="87" t="s">
        <v>24</v>
      </c>
      <c r="M32" s="24" t="s">
        <v>22</v>
      </c>
      <c r="N32" s="15">
        <f>E35</f>
        <v>0</v>
      </c>
      <c r="O32" s="6">
        <v>60000</v>
      </c>
      <c r="P32" s="7">
        <f>ROUND(N32*O32,-3)</f>
        <v>0</v>
      </c>
    </row>
    <row r="33" spans="1:18" x14ac:dyDescent="0.2">
      <c r="B33" t="s">
        <v>118</v>
      </c>
      <c r="E33">
        <v>30</v>
      </c>
      <c r="F33" t="s">
        <v>1</v>
      </c>
      <c r="H33" s="87">
        <f>H32+1</f>
        <v>14</v>
      </c>
      <c r="I33" t="s">
        <v>23</v>
      </c>
      <c r="K33" s="87"/>
      <c r="O33" s="6">
        <v>0</v>
      </c>
      <c r="P33" s="7">
        <f>ROUND(N33*O33,-3)</f>
        <v>0</v>
      </c>
    </row>
    <row r="34" spans="1:18" x14ac:dyDescent="0.2">
      <c r="B34" t="s">
        <v>25</v>
      </c>
      <c r="E34">
        <f>E15</f>
        <v>3140</v>
      </c>
      <c r="F34" t="s">
        <v>1</v>
      </c>
      <c r="H34" s="87">
        <f>H33+1</f>
        <v>15</v>
      </c>
      <c r="I34" s="24" t="s">
        <v>72</v>
      </c>
      <c r="K34" s="87" t="s">
        <v>11</v>
      </c>
      <c r="N34" s="4">
        <f>E15</f>
        <v>3140</v>
      </c>
      <c r="O34" s="6">
        <v>0</v>
      </c>
      <c r="P34" s="7">
        <f>ROUND(N34*O34,-3)</f>
        <v>0</v>
      </c>
    </row>
    <row r="35" spans="1:18" x14ac:dyDescent="0.2">
      <c r="B35" t="s">
        <v>65</v>
      </c>
      <c r="E35" s="14">
        <f>ROUND(((E33-E31)*E34)/43560,1)</f>
        <v>0</v>
      </c>
      <c r="F35" t="s">
        <v>24</v>
      </c>
    </row>
    <row r="36" spans="1:18" x14ac:dyDescent="0.2">
      <c r="E36" s="14"/>
      <c r="H36" s="13">
        <f>H34+1</f>
        <v>16</v>
      </c>
      <c r="I36" s="11" t="s">
        <v>21</v>
      </c>
      <c r="J36" s="11"/>
      <c r="K36" s="13" t="s">
        <v>14</v>
      </c>
      <c r="L36" s="16">
        <v>0.3</v>
      </c>
      <c r="M36" s="57" t="s">
        <v>108</v>
      </c>
      <c r="N36" s="11"/>
      <c r="O36" s="17" t="s">
        <v>15</v>
      </c>
      <c r="P36" s="18">
        <f>ROUND(SUM(P15:P34)*L36,-4)</f>
        <v>70000</v>
      </c>
    </row>
    <row r="37" spans="1:18" ht="15.75" x14ac:dyDescent="0.25">
      <c r="A37" s="29" t="s">
        <v>40</v>
      </c>
      <c r="E37" s="14"/>
      <c r="H37" s="28" t="s">
        <v>41</v>
      </c>
      <c r="I37" s="20"/>
      <c r="J37" s="20"/>
      <c r="K37" s="87"/>
      <c r="P37" s="26">
        <f>ROUND(SUM(P15:P36),-4)</f>
        <v>290000</v>
      </c>
    </row>
    <row r="39" spans="1:18" x14ac:dyDescent="0.2">
      <c r="A39" s="19" t="s">
        <v>26</v>
      </c>
      <c r="B39" t="s">
        <v>88</v>
      </c>
      <c r="H39" s="87" t="s">
        <v>42</v>
      </c>
      <c r="I39" s="24" t="s">
        <v>67</v>
      </c>
      <c r="L39" s="8">
        <v>0.2</v>
      </c>
      <c r="M39" t="s">
        <v>37</v>
      </c>
      <c r="O39" s="24"/>
      <c r="P39" s="7">
        <f>ROUND((P30)*L39,-3)</f>
        <v>6000</v>
      </c>
      <c r="Q39" s="147" t="s">
        <v>48</v>
      </c>
      <c r="R39" s="147"/>
    </row>
    <row r="40" spans="1:18" x14ac:dyDescent="0.2">
      <c r="A40" s="19"/>
      <c r="H40" s="87" t="s">
        <v>43</v>
      </c>
      <c r="I40" s="24" t="s">
        <v>36</v>
      </c>
      <c r="J40" s="24"/>
      <c r="K40" s="24"/>
      <c r="L40" s="24"/>
      <c r="M40" s="24"/>
      <c r="N40" s="24"/>
      <c r="O40" s="24"/>
      <c r="P40" s="25">
        <f>P30</f>
        <v>29000</v>
      </c>
      <c r="Q40" s="147" t="s">
        <v>48</v>
      </c>
      <c r="R40" s="147"/>
    </row>
    <row r="41" spans="1:18" x14ac:dyDescent="0.2">
      <c r="H41" s="87" t="s">
        <v>44</v>
      </c>
      <c r="I41" s="24" t="s">
        <v>73</v>
      </c>
      <c r="J41" s="24"/>
      <c r="K41" s="24"/>
      <c r="L41" s="24"/>
      <c r="M41" s="24"/>
      <c r="N41" s="24"/>
      <c r="O41" s="24"/>
      <c r="P41" s="25">
        <f>ROUND((P32+P33+P34),-3)</f>
        <v>0</v>
      </c>
      <c r="Q41" s="147" t="s">
        <v>48</v>
      </c>
      <c r="R41" s="147"/>
    </row>
    <row r="42" spans="1:18" x14ac:dyDescent="0.2">
      <c r="H42" s="87" t="s">
        <v>45</v>
      </c>
      <c r="I42" s="24" t="s">
        <v>33</v>
      </c>
      <c r="J42" s="24"/>
      <c r="K42" s="24"/>
      <c r="L42" s="24"/>
      <c r="M42" s="24"/>
      <c r="N42" s="24"/>
      <c r="O42" s="24"/>
      <c r="P42" s="25">
        <f>ROUND(SUM(P15:P28),-3)</f>
        <v>190000</v>
      </c>
      <c r="Q42" s="147" t="s">
        <v>48</v>
      </c>
      <c r="R42" s="147"/>
    </row>
    <row r="43" spans="1:18" x14ac:dyDescent="0.2">
      <c r="H43" s="30" t="s">
        <v>46</v>
      </c>
      <c r="I43" s="21" t="s">
        <v>34</v>
      </c>
      <c r="J43" s="21"/>
      <c r="K43" s="21"/>
      <c r="L43" s="22">
        <v>7.0000000000000007E-2</v>
      </c>
      <c r="M43" s="21" t="s">
        <v>38</v>
      </c>
      <c r="N43" s="21"/>
      <c r="O43" s="21"/>
      <c r="P43" s="23">
        <f>ROUND(P42*L43,-3)</f>
        <v>13000</v>
      </c>
      <c r="Q43" s="147" t="s">
        <v>48</v>
      </c>
      <c r="R43" s="147"/>
    </row>
    <row r="44" spans="1:18" x14ac:dyDescent="0.2">
      <c r="H44" s="13" t="s">
        <v>47</v>
      </c>
      <c r="I44" s="31" t="s">
        <v>21</v>
      </c>
      <c r="J44" s="11"/>
      <c r="K44" s="11"/>
      <c r="L44" s="16">
        <f>L36</f>
        <v>0.3</v>
      </c>
      <c r="M44" s="57" t="s">
        <v>49</v>
      </c>
      <c r="N44" s="11"/>
      <c r="O44" s="11"/>
      <c r="P44" s="18">
        <f>ROUND(SUM(P39:P43)*L44,-4)</f>
        <v>70000</v>
      </c>
    </row>
    <row r="46" spans="1:18" ht="15.75" x14ac:dyDescent="0.25">
      <c r="H46" s="2" t="s">
        <v>39</v>
      </c>
      <c r="O46" s="145">
        <f>ROUND(SUM(P39:P44),-4)</f>
        <v>310000</v>
      </c>
      <c r="P46" s="145"/>
    </row>
  </sheetData>
  <mergeCells count="7">
    <mergeCell ref="O46:P46"/>
    <mergeCell ref="A8:C8"/>
    <mergeCell ref="Q39:R39"/>
    <mergeCell ref="Q40:R40"/>
    <mergeCell ref="Q41:R41"/>
    <mergeCell ref="Q42:R42"/>
    <mergeCell ref="Q43:R43"/>
  </mergeCells>
  <pageMargins left="0.75" right="0.75" top="1" bottom="1" header="0.5" footer="0.5"/>
  <pageSetup paperSize="17" scale="70" orientation="landscape" r:id="rId1"/>
  <headerFooter alignWithMargins="0">
    <oddFooter>&amp;A</oddFooter>
  </headerFooter>
  <ignoredErrors>
    <ignoredError sqref="A3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03FF4-5EE8-4673-A28E-D234C9715C55}">
  <sheetPr>
    <pageSetUpPr fitToPage="1"/>
  </sheetPr>
  <dimension ref="A1:R52"/>
  <sheetViews>
    <sheetView topLeftCell="A16" zoomScale="120" zoomScaleNormal="120" workbookViewId="0">
      <selection activeCell="N19" sqref="N19"/>
    </sheetView>
  </sheetViews>
  <sheetFormatPr defaultRowHeight="12.75" x14ac:dyDescent="0.2"/>
  <cols>
    <col min="1" max="1" width="4.7109375" customWidth="1"/>
    <col min="11" max="11" width="12.7109375" customWidth="1"/>
    <col min="12" max="12" width="6.7109375" customWidth="1"/>
    <col min="13" max="16" width="12.7109375" customWidth="1"/>
  </cols>
  <sheetData>
    <row r="1" spans="1:16" ht="26.25" x14ac:dyDescent="0.4">
      <c r="A1" s="27" t="s">
        <v>141</v>
      </c>
    </row>
    <row r="2" spans="1:16" ht="20.25" x14ac:dyDescent="0.3">
      <c r="A2" s="91" t="s">
        <v>140</v>
      </c>
    </row>
    <row r="3" spans="1:16" ht="20.25" customHeight="1" x14ac:dyDescent="0.35">
      <c r="A3" s="34"/>
    </row>
    <row r="4" spans="1:16" ht="20.25" x14ac:dyDescent="0.3">
      <c r="A4" s="1" t="s">
        <v>144</v>
      </c>
      <c r="E4" s="33" t="s">
        <v>126</v>
      </c>
      <c r="J4" s="90" t="s">
        <v>132</v>
      </c>
      <c r="K4" s="2" t="s">
        <v>137</v>
      </c>
      <c r="L4" s="2"/>
      <c r="M4" s="90" t="s">
        <v>133</v>
      </c>
      <c r="N4" s="2" t="s">
        <v>143</v>
      </c>
    </row>
    <row r="5" spans="1:16" ht="20.25" x14ac:dyDescent="0.3">
      <c r="A5" s="1" t="s">
        <v>84</v>
      </c>
      <c r="E5" s="33" t="s">
        <v>142</v>
      </c>
      <c r="N5" s="93" t="s">
        <v>155</v>
      </c>
    </row>
    <row r="6" spans="1:16" ht="12.75" customHeight="1" x14ac:dyDescent="0.2"/>
    <row r="7" spans="1:16" ht="12.75" customHeight="1" x14ac:dyDescent="0.2"/>
    <row r="8" spans="1:16" ht="15.75" x14ac:dyDescent="0.25">
      <c r="A8" s="146">
        <f ca="1">TODAY()</f>
        <v>44498</v>
      </c>
      <c r="B8" s="146"/>
      <c r="C8" s="146"/>
    </row>
    <row r="10" spans="1:16" ht="20.25" x14ac:dyDescent="0.3">
      <c r="A10" s="1" t="s">
        <v>60</v>
      </c>
    </row>
    <row r="11" spans="1:16" x14ac:dyDescent="0.2">
      <c r="A11" t="s">
        <v>59</v>
      </c>
    </row>
    <row r="13" spans="1:16" ht="12.75" customHeight="1" x14ac:dyDescent="0.25">
      <c r="A13" s="2"/>
    </row>
    <row r="14" spans="1:16" ht="12.75" customHeight="1" x14ac:dyDescent="0.2">
      <c r="A14" s="10" t="s">
        <v>29</v>
      </c>
      <c r="B14" s="11"/>
      <c r="C14" s="11"/>
      <c r="D14" s="11"/>
      <c r="E14" s="11"/>
      <c r="F14" s="11"/>
      <c r="G14" s="11"/>
      <c r="H14" s="9" t="s">
        <v>2</v>
      </c>
      <c r="I14" s="10" t="s">
        <v>3</v>
      </c>
      <c r="J14" s="10"/>
      <c r="K14" s="9" t="s">
        <v>4</v>
      </c>
      <c r="L14" s="9"/>
      <c r="M14" s="11"/>
      <c r="N14" s="9" t="s">
        <v>5</v>
      </c>
      <c r="O14" s="9" t="s">
        <v>6</v>
      </c>
      <c r="P14" s="12" t="s">
        <v>7</v>
      </c>
    </row>
    <row r="15" spans="1:16" x14ac:dyDescent="0.2">
      <c r="A15" s="24" t="s">
        <v>211</v>
      </c>
      <c r="E15">
        <v>2640</v>
      </c>
      <c r="F15" t="s">
        <v>1</v>
      </c>
      <c r="H15" s="87">
        <v>1</v>
      </c>
      <c r="I15" t="s">
        <v>96</v>
      </c>
      <c r="K15" s="87" t="s">
        <v>12</v>
      </c>
      <c r="L15" s="87"/>
      <c r="N15" s="4">
        <f>ROUND(E17*E22/9,-2)</f>
        <v>1700</v>
      </c>
      <c r="O15" s="56">
        <v>56</v>
      </c>
      <c r="P15" s="7">
        <f>ROUND(N15*O15,-3)</f>
        <v>95000</v>
      </c>
    </row>
    <row r="16" spans="1:16" x14ac:dyDescent="0.2">
      <c r="A16" s="24"/>
      <c r="B16" t="s">
        <v>89</v>
      </c>
      <c r="E16">
        <f>E15+500</f>
        <v>3140</v>
      </c>
      <c r="F16" t="s">
        <v>1</v>
      </c>
      <c r="H16" s="87">
        <f>H15+1</f>
        <v>2</v>
      </c>
      <c r="I16" t="s">
        <v>89</v>
      </c>
      <c r="K16" s="87" t="s">
        <v>12</v>
      </c>
      <c r="L16" s="87"/>
      <c r="N16" s="4">
        <f>ROUND(E16*E21/9,-2)</f>
        <v>8400</v>
      </c>
      <c r="O16" s="56">
        <v>8.24</v>
      </c>
      <c r="P16" s="7">
        <f>ROUND(N16*O16,-3)</f>
        <v>69000</v>
      </c>
    </row>
    <row r="17" spans="1:16" x14ac:dyDescent="0.2">
      <c r="A17" s="24"/>
      <c r="B17" t="s">
        <v>109</v>
      </c>
      <c r="E17">
        <v>1250</v>
      </c>
      <c r="F17" t="s">
        <v>1</v>
      </c>
      <c r="H17" s="87">
        <f>H16+1</f>
        <v>3</v>
      </c>
      <c r="I17" t="s">
        <v>95</v>
      </c>
      <c r="K17" s="87" t="s">
        <v>12</v>
      </c>
      <c r="L17" s="87"/>
      <c r="N17" s="4">
        <f>ROUND(E18*E23/9,-2)</f>
        <v>3700</v>
      </c>
      <c r="O17" s="56">
        <v>24</v>
      </c>
      <c r="P17" s="7">
        <f>ROUND(N17*O17,-3)</f>
        <v>89000</v>
      </c>
    </row>
    <row r="18" spans="1:16" x14ac:dyDescent="0.2">
      <c r="A18" s="24"/>
      <c r="B18" t="s">
        <v>95</v>
      </c>
      <c r="E18">
        <f>E15+700</f>
        <v>3340</v>
      </c>
      <c r="F18" t="s">
        <v>1</v>
      </c>
      <c r="H18" s="87">
        <f>H17+1</f>
        <v>4</v>
      </c>
      <c r="I18" t="s">
        <v>8</v>
      </c>
      <c r="K18" s="87" t="s">
        <v>9</v>
      </c>
      <c r="L18" s="87"/>
      <c r="N18" s="4">
        <f>E33</f>
        <v>4500</v>
      </c>
      <c r="O18" s="56">
        <v>20</v>
      </c>
      <c r="P18" s="7">
        <f>ROUND(N18*O18,-3)</f>
        <v>90000</v>
      </c>
    </row>
    <row r="19" spans="1:16" x14ac:dyDescent="0.2">
      <c r="H19" s="87">
        <f>H18+1</f>
        <v>5</v>
      </c>
      <c r="I19" s="24" t="s">
        <v>182</v>
      </c>
      <c r="K19" s="87" t="s">
        <v>11</v>
      </c>
      <c r="L19" s="87"/>
      <c r="N19" s="4">
        <f>E18</f>
        <v>3340</v>
      </c>
      <c r="O19" s="56">
        <v>20</v>
      </c>
      <c r="P19" s="7">
        <f>ROUND(N19*O19,-3)</f>
        <v>67000</v>
      </c>
    </row>
    <row r="20" spans="1:16" x14ac:dyDescent="0.2">
      <c r="A20" s="24" t="s">
        <v>127</v>
      </c>
    </row>
    <row r="21" spans="1:16" x14ac:dyDescent="0.2">
      <c r="B21" t="s">
        <v>89</v>
      </c>
      <c r="E21">
        <v>24</v>
      </c>
      <c r="F21" t="s">
        <v>1</v>
      </c>
    </row>
    <row r="22" spans="1:16" x14ac:dyDescent="0.2">
      <c r="B22" t="s">
        <v>109</v>
      </c>
      <c r="E22">
        <v>12</v>
      </c>
      <c r="F22" t="s">
        <v>1</v>
      </c>
      <c r="H22" s="87"/>
      <c r="K22" s="87"/>
      <c r="L22" s="84"/>
      <c r="N22" s="4"/>
      <c r="O22" s="56"/>
      <c r="P22" s="7"/>
    </row>
    <row r="23" spans="1:16" x14ac:dyDescent="0.2">
      <c r="B23" t="s">
        <v>95</v>
      </c>
      <c r="E23">
        <v>10</v>
      </c>
      <c r="F23" t="s">
        <v>1</v>
      </c>
      <c r="H23" s="143"/>
      <c r="K23" s="143"/>
      <c r="L23" s="84"/>
      <c r="N23" s="4"/>
      <c r="O23" s="56"/>
      <c r="P23" s="7"/>
    </row>
    <row r="24" spans="1:16" x14ac:dyDescent="0.2">
      <c r="K24" s="87"/>
      <c r="L24" s="84"/>
      <c r="N24" s="4"/>
      <c r="O24" s="56"/>
      <c r="P24" s="7"/>
    </row>
    <row r="25" spans="1:16" x14ac:dyDescent="0.2">
      <c r="A25" t="s">
        <v>87</v>
      </c>
      <c r="D25" t="s">
        <v>158</v>
      </c>
      <c r="H25" s="87">
        <f>H19+1</f>
        <v>6</v>
      </c>
      <c r="I25" s="24" t="s">
        <v>83</v>
      </c>
      <c r="K25" s="87" t="s">
        <v>32</v>
      </c>
      <c r="L25" s="87"/>
      <c r="N25" s="4">
        <v>1</v>
      </c>
      <c r="O25" s="6">
        <v>300000</v>
      </c>
      <c r="P25" s="7">
        <f>ROUND(N25*O25,-3)</f>
        <v>300000</v>
      </c>
    </row>
    <row r="26" spans="1:16" x14ac:dyDescent="0.2">
      <c r="D26" t="s">
        <v>159</v>
      </c>
      <c r="H26" s="87">
        <f t="shared" ref="H26:H32" si="0">H25+1</f>
        <v>7</v>
      </c>
      <c r="I26" s="24" t="s">
        <v>90</v>
      </c>
      <c r="K26" s="87" t="s">
        <v>14</v>
      </c>
      <c r="L26" s="8">
        <v>0.3</v>
      </c>
      <c r="M26" s="24" t="s">
        <v>99</v>
      </c>
      <c r="O26" s="5" t="s">
        <v>15</v>
      </c>
      <c r="P26" s="7">
        <f>ROUND(SUM(P$15:P$19)*L26,-3)</f>
        <v>123000</v>
      </c>
    </row>
    <row r="27" spans="1:16" x14ac:dyDescent="0.2">
      <c r="A27" t="s">
        <v>8</v>
      </c>
      <c r="H27" s="87">
        <f t="shared" si="0"/>
        <v>8</v>
      </c>
      <c r="I27" t="s">
        <v>13</v>
      </c>
      <c r="K27" s="87" t="s">
        <v>14</v>
      </c>
      <c r="L27" s="8">
        <v>0.45</v>
      </c>
      <c r="M27" s="24" t="s">
        <v>99</v>
      </c>
      <c r="O27" s="5" t="s">
        <v>15</v>
      </c>
      <c r="P27" s="7">
        <f t="shared" ref="P27:P32" si="1">ROUND(SUM(P$15:P$19)*L27,-3)</f>
        <v>185000</v>
      </c>
    </row>
    <row r="28" spans="1:16" x14ac:dyDescent="0.2">
      <c r="B28" t="s">
        <v>25</v>
      </c>
      <c r="E28">
        <f>E16</f>
        <v>3140</v>
      </c>
      <c r="F28" t="s">
        <v>1</v>
      </c>
      <c r="H28" s="87">
        <f t="shared" si="0"/>
        <v>9</v>
      </c>
      <c r="I28" t="s">
        <v>16</v>
      </c>
      <c r="K28" s="87" t="s">
        <v>14</v>
      </c>
      <c r="L28" s="8">
        <v>0.15</v>
      </c>
      <c r="M28" s="24" t="s">
        <v>99</v>
      </c>
      <c r="O28" s="5" t="s">
        <v>15</v>
      </c>
      <c r="P28" s="7">
        <f t="shared" si="1"/>
        <v>62000</v>
      </c>
    </row>
    <row r="29" spans="1:16" x14ac:dyDescent="0.2">
      <c r="B29" t="s">
        <v>160</v>
      </c>
      <c r="E29">
        <v>31</v>
      </c>
      <c r="F29" t="s">
        <v>1</v>
      </c>
      <c r="H29" s="87">
        <f t="shared" si="0"/>
        <v>10</v>
      </c>
      <c r="I29" t="s">
        <v>17</v>
      </c>
      <c r="K29" s="87" t="s">
        <v>14</v>
      </c>
      <c r="L29" s="8">
        <v>0.3</v>
      </c>
      <c r="M29" s="24" t="s">
        <v>99</v>
      </c>
      <c r="O29" s="5" t="s">
        <v>15</v>
      </c>
      <c r="P29" s="7">
        <f t="shared" si="1"/>
        <v>123000</v>
      </c>
    </row>
    <row r="30" spans="1:16" x14ac:dyDescent="0.2">
      <c r="B30" t="s">
        <v>124</v>
      </c>
      <c r="E30">
        <f>E29+(2*E31*3+2)</f>
        <v>39</v>
      </c>
      <c r="F30" t="s">
        <v>1</v>
      </c>
      <c r="H30" s="87">
        <f t="shared" si="0"/>
        <v>11</v>
      </c>
      <c r="I30" t="s">
        <v>18</v>
      </c>
      <c r="K30" s="87" t="s">
        <v>14</v>
      </c>
      <c r="L30" s="32">
        <v>1.4999999999999999E-2</v>
      </c>
      <c r="M30" s="24" t="s">
        <v>99</v>
      </c>
      <c r="O30" s="5" t="s">
        <v>15</v>
      </c>
      <c r="P30" s="7">
        <f t="shared" si="1"/>
        <v>6000</v>
      </c>
    </row>
    <row r="31" spans="1:16" x14ac:dyDescent="0.2">
      <c r="B31" t="s">
        <v>125</v>
      </c>
      <c r="E31" s="14">
        <v>1</v>
      </c>
      <c r="F31" t="s">
        <v>1</v>
      </c>
      <c r="H31" s="87">
        <f t="shared" si="0"/>
        <v>12</v>
      </c>
      <c r="I31" t="s">
        <v>31</v>
      </c>
      <c r="K31" s="87" t="s">
        <v>14</v>
      </c>
      <c r="L31" s="8">
        <v>0</v>
      </c>
      <c r="M31" s="24" t="s">
        <v>99</v>
      </c>
      <c r="O31" s="5" t="s">
        <v>15</v>
      </c>
      <c r="P31" s="7">
        <f t="shared" si="1"/>
        <v>0</v>
      </c>
    </row>
    <row r="32" spans="1:16" x14ac:dyDescent="0.2">
      <c r="B32" t="s">
        <v>63</v>
      </c>
      <c r="E32">
        <f>E30*E31</f>
        <v>39</v>
      </c>
      <c r="F32" t="s">
        <v>10</v>
      </c>
      <c r="H32" s="87">
        <f t="shared" si="0"/>
        <v>13</v>
      </c>
      <c r="I32" t="s">
        <v>19</v>
      </c>
      <c r="K32" s="87" t="s">
        <v>14</v>
      </c>
      <c r="L32" s="8">
        <v>0.3</v>
      </c>
      <c r="M32" s="24" t="s">
        <v>99</v>
      </c>
      <c r="O32" s="5" t="s">
        <v>15</v>
      </c>
      <c r="P32" s="7">
        <f t="shared" si="1"/>
        <v>123000</v>
      </c>
    </row>
    <row r="33" spans="1:18" x14ac:dyDescent="0.2">
      <c r="B33" t="s">
        <v>64</v>
      </c>
      <c r="E33" s="54">
        <f>ROUND((E32*E28)/27,-2)</f>
        <v>4500</v>
      </c>
      <c r="F33" s="53" t="s">
        <v>9</v>
      </c>
      <c r="M33" s="24" t="s">
        <v>22</v>
      </c>
    </row>
    <row r="34" spans="1:18" x14ac:dyDescent="0.2">
      <c r="H34" s="87">
        <f>H32+1</f>
        <v>14</v>
      </c>
      <c r="I34" t="s">
        <v>20</v>
      </c>
      <c r="K34" s="87" t="s">
        <v>14</v>
      </c>
      <c r="L34" s="8">
        <v>0.2</v>
      </c>
      <c r="M34" s="24" t="s">
        <v>99</v>
      </c>
      <c r="O34" s="5" t="s">
        <v>15</v>
      </c>
      <c r="P34" s="7">
        <f>ROUND(SUM(P$15:P$19)*L34,-3)</f>
        <v>82000</v>
      </c>
    </row>
    <row r="36" spans="1:18" x14ac:dyDescent="0.2">
      <c r="A36" t="s">
        <v>27</v>
      </c>
      <c r="E36" t="s">
        <v>22</v>
      </c>
      <c r="F36" t="s">
        <v>22</v>
      </c>
      <c r="H36" s="87">
        <f>H34+1</f>
        <v>15</v>
      </c>
      <c r="I36" t="s">
        <v>36</v>
      </c>
      <c r="K36" s="87" t="s">
        <v>14</v>
      </c>
      <c r="L36" s="8">
        <v>0.15</v>
      </c>
      <c r="M36" s="24" t="s">
        <v>92</v>
      </c>
      <c r="O36" s="5" t="s">
        <v>15</v>
      </c>
      <c r="P36" s="7">
        <f>ROUND(SUM(P15:P34)*L36,-3)</f>
        <v>212000</v>
      </c>
    </row>
    <row r="37" spans="1:18" x14ac:dyDescent="0.2">
      <c r="A37" t="s">
        <v>22</v>
      </c>
      <c r="B37" t="s">
        <v>116</v>
      </c>
      <c r="E37" s="79">
        <v>51</v>
      </c>
      <c r="F37" t="s">
        <v>1</v>
      </c>
      <c r="L37" s="8"/>
      <c r="O37" s="5"/>
      <c r="P37" s="7"/>
    </row>
    <row r="38" spans="1:18" x14ac:dyDescent="0.2">
      <c r="B38" t="s">
        <v>117</v>
      </c>
      <c r="E38">
        <v>43</v>
      </c>
      <c r="F38" t="s">
        <v>1</v>
      </c>
      <c r="H38" s="87">
        <f>H36+1</f>
        <v>16</v>
      </c>
      <c r="I38" t="s">
        <v>28</v>
      </c>
      <c r="K38" s="87" t="s">
        <v>24</v>
      </c>
      <c r="M38" s="24" t="s">
        <v>22</v>
      </c>
      <c r="N38" s="15">
        <f>E41</f>
        <v>0.6</v>
      </c>
      <c r="O38" s="6">
        <v>60000</v>
      </c>
      <c r="P38" s="7">
        <f>ROUND(N38*O38,-3)</f>
        <v>36000</v>
      </c>
    </row>
    <row r="39" spans="1:18" x14ac:dyDescent="0.2">
      <c r="B39" t="s">
        <v>118</v>
      </c>
      <c r="E39">
        <v>60</v>
      </c>
      <c r="F39" t="s">
        <v>1</v>
      </c>
      <c r="H39" s="87">
        <f>H38+1</f>
        <v>17</v>
      </c>
      <c r="I39" t="s">
        <v>23</v>
      </c>
      <c r="K39" s="87"/>
      <c r="O39" s="6">
        <v>0</v>
      </c>
      <c r="P39" s="7">
        <f>ROUND(N39*O39,-3)</f>
        <v>0</v>
      </c>
    </row>
    <row r="40" spans="1:18" x14ac:dyDescent="0.2">
      <c r="B40" t="s">
        <v>25</v>
      </c>
      <c r="E40">
        <f>E16</f>
        <v>3140</v>
      </c>
      <c r="F40" t="s">
        <v>1</v>
      </c>
      <c r="H40" s="87">
        <f>H39+1</f>
        <v>18</v>
      </c>
      <c r="I40" s="24" t="s">
        <v>72</v>
      </c>
      <c r="K40" s="87" t="s">
        <v>11</v>
      </c>
      <c r="N40" s="4">
        <f>E17</f>
        <v>1250</v>
      </c>
      <c r="O40" s="6">
        <v>50</v>
      </c>
      <c r="P40" s="7">
        <f>ROUND(N40*O40,-3)</f>
        <v>63000</v>
      </c>
    </row>
    <row r="41" spans="1:18" x14ac:dyDescent="0.2">
      <c r="B41" t="s">
        <v>65</v>
      </c>
      <c r="E41" s="14">
        <f>ROUND(((E39-E37)*E40)/43560,1)</f>
        <v>0.6</v>
      </c>
      <c r="F41" t="s">
        <v>24</v>
      </c>
    </row>
    <row r="42" spans="1:18" x14ac:dyDescent="0.2">
      <c r="E42" s="14"/>
      <c r="H42" s="13">
        <f>H40+1</f>
        <v>19</v>
      </c>
      <c r="I42" s="11" t="s">
        <v>21</v>
      </c>
      <c r="J42" s="11"/>
      <c r="K42" s="13" t="s">
        <v>14</v>
      </c>
      <c r="L42" s="16">
        <v>0.3</v>
      </c>
      <c r="M42" s="57" t="s">
        <v>101</v>
      </c>
      <c r="N42" s="11"/>
      <c r="O42" s="17" t="s">
        <v>15</v>
      </c>
      <c r="P42" s="18">
        <f>ROUND(SUM(P15:P40)*L42,-4)</f>
        <v>520000</v>
      </c>
    </row>
    <row r="43" spans="1:18" ht="15.75" x14ac:dyDescent="0.25">
      <c r="A43" s="29" t="s">
        <v>40</v>
      </c>
      <c r="E43" s="14"/>
      <c r="H43" s="28" t="s">
        <v>41</v>
      </c>
      <c r="I43" s="20"/>
      <c r="J43" s="20"/>
      <c r="K43" s="87"/>
      <c r="P43" s="26">
        <f>ROUND(SUM(P15:P42),-4)</f>
        <v>2250000</v>
      </c>
    </row>
    <row r="45" spans="1:18" x14ac:dyDescent="0.2">
      <c r="A45" s="19" t="s">
        <v>26</v>
      </c>
      <c r="B45" t="s">
        <v>88</v>
      </c>
      <c r="H45" s="87" t="s">
        <v>42</v>
      </c>
      <c r="I45" s="24" t="s">
        <v>67</v>
      </c>
      <c r="L45" s="8">
        <v>0.2</v>
      </c>
      <c r="M45" t="s">
        <v>37</v>
      </c>
      <c r="O45" s="24"/>
      <c r="P45" s="7">
        <f>ROUND((P36)*L45,-3)</f>
        <v>42000</v>
      </c>
      <c r="Q45" s="147" t="s">
        <v>48</v>
      </c>
      <c r="R45" s="147"/>
    </row>
    <row r="46" spans="1:18" x14ac:dyDescent="0.2">
      <c r="A46" s="19" t="s">
        <v>187</v>
      </c>
      <c r="B46" t="s">
        <v>212</v>
      </c>
      <c r="H46" s="87" t="s">
        <v>43</v>
      </c>
      <c r="I46" s="24" t="s">
        <v>36</v>
      </c>
      <c r="J46" s="24"/>
      <c r="K46" s="24"/>
      <c r="L46" s="24"/>
      <c r="M46" s="24"/>
      <c r="N46" s="24"/>
      <c r="O46" s="24"/>
      <c r="P46" s="25">
        <f>P36</f>
        <v>212000</v>
      </c>
      <c r="Q46" s="147" t="s">
        <v>48</v>
      </c>
      <c r="R46" s="147"/>
    </row>
    <row r="47" spans="1:18" x14ac:dyDescent="0.2">
      <c r="H47" s="87" t="s">
        <v>44</v>
      </c>
      <c r="I47" s="24" t="s">
        <v>73</v>
      </c>
      <c r="J47" s="24"/>
      <c r="K47" s="24"/>
      <c r="L47" s="24"/>
      <c r="M47" s="24"/>
      <c r="N47" s="24"/>
      <c r="O47" s="24"/>
      <c r="P47" s="25">
        <f>ROUND((P38+P39+P40),-3)</f>
        <v>99000</v>
      </c>
      <c r="Q47" s="147" t="s">
        <v>48</v>
      </c>
      <c r="R47" s="147"/>
    </row>
    <row r="48" spans="1:18" x14ac:dyDescent="0.2">
      <c r="H48" s="87" t="s">
        <v>45</v>
      </c>
      <c r="I48" s="24" t="s">
        <v>33</v>
      </c>
      <c r="J48" s="24"/>
      <c r="K48" s="24"/>
      <c r="L48" s="24"/>
      <c r="M48" s="24"/>
      <c r="N48" s="24"/>
      <c r="O48" s="24"/>
      <c r="P48" s="25">
        <f>ROUND(SUM(P15:P34),-3)</f>
        <v>1414000</v>
      </c>
      <c r="Q48" s="147" t="s">
        <v>48</v>
      </c>
      <c r="R48" s="147"/>
    </row>
    <row r="49" spans="8:18" x14ac:dyDescent="0.2">
      <c r="H49" s="30" t="s">
        <v>46</v>
      </c>
      <c r="I49" s="21" t="s">
        <v>34</v>
      </c>
      <c r="J49" s="21"/>
      <c r="K49" s="21"/>
      <c r="L49" s="22">
        <v>7.0000000000000007E-2</v>
      </c>
      <c r="M49" s="21" t="s">
        <v>38</v>
      </c>
      <c r="N49" s="21"/>
      <c r="O49" s="21"/>
      <c r="P49" s="23">
        <f>ROUND(P48*L49,-3)</f>
        <v>99000</v>
      </c>
      <c r="Q49" s="147" t="s">
        <v>48</v>
      </c>
      <c r="R49" s="147"/>
    </row>
    <row r="50" spans="8:18" x14ac:dyDescent="0.2">
      <c r="H50" s="13" t="s">
        <v>47</v>
      </c>
      <c r="I50" s="31" t="s">
        <v>21</v>
      </c>
      <c r="J50" s="11"/>
      <c r="K50" s="11"/>
      <c r="L50" s="16">
        <f>L42</f>
        <v>0.3</v>
      </c>
      <c r="M50" s="57" t="s">
        <v>49</v>
      </c>
      <c r="N50" s="11"/>
      <c r="O50" s="11"/>
      <c r="P50" s="18">
        <f>ROUND(SUM(P45:P49)*L50,-4)</f>
        <v>560000</v>
      </c>
    </row>
    <row r="52" spans="8:18" ht="15.75" x14ac:dyDescent="0.25">
      <c r="H52" s="2" t="s">
        <v>39</v>
      </c>
      <c r="O52" s="145">
        <f>ROUND(SUM(P45:P50),-4)</f>
        <v>2430000</v>
      </c>
      <c r="P52" s="145"/>
    </row>
  </sheetData>
  <mergeCells count="7">
    <mergeCell ref="O52:P52"/>
    <mergeCell ref="A8:C8"/>
    <mergeCell ref="Q45:R45"/>
    <mergeCell ref="Q46:R46"/>
    <mergeCell ref="Q47:R47"/>
    <mergeCell ref="Q48:R48"/>
    <mergeCell ref="Q49:R49"/>
  </mergeCells>
  <pageMargins left="0.75" right="0.75" top="1" bottom="1" header="0.5" footer="0.5"/>
  <pageSetup paperSize="17" scale="66" orientation="landscape" r:id="rId1"/>
  <headerFooter alignWithMargins="0">
    <oddFooter>&amp;A</oddFooter>
  </headerFooter>
  <ignoredErrors>
    <ignoredError sqref="A45 A4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9"/>
  <sheetViews>
    <sheetView topLeftCell="A18" zoomScale="120" zoomScaleNormal="120" workbookViewId="0">
      <selection activeCell="F38" sqref="F38"/>
    </sheetView>
  </sheetViews>
  <sheetFormatPr defaultRowHeight="12.75" x14ac:dyDescent="0.2"/>
  <cols>
    <col min="1" max="1" width="4.7109375" customWidth="1"/>
    <col min="11" max="11" width="12.7109375" customWidth="1"/>
    <col min="12" max="12" width="6.7109375" customWidth="1"/>
    <col min="13" max="16" width="12.7109375" customWidth="1"/>
  </cols>
  <sheetData>
    <row r="1" spans="1:16" ht="26.25" x14ac:dyDescent="0.4">
      <c r="A1" s="27" t="s">
        <v>141</v>
      </c>
    </row>
    <row r="2" spans="1:16" ht="20.25" x14ac:dyDescent="0.3">
      <c r="A2" s="91" t="s">
        <v>140</v>
      </c>
    </row>
    <row r="3" spans="1:16" ht="20.25" customHeight="1" x14ac:dyDescent="0.35">
      <c r="A3" s="34"/>
    </row>
    <row r="4" spans="1:16" ht="20.25" customHeight="1" x14ac:dyDescent="0.3">
      <c r="A4" s="1" t="s">
        <v>137</v>
      </c>
      <c r="E4" s="33" t="s">
        <v>126</v>
      </c>
      <c r="J4" s="90" t="s">
        <v>132</v>
      </c>
      <c r="K4" s="2" t="s">
        <v>138</v>
      </c>
      <c r="L4" s="2"/>
      <c r="M4" s="90" t="s">
        <v>133</v>
      </c>
      <c r="N4" s="2" t="s">
        <v>154</v>
      </c>
    </row>
    <row r="5" spans="1:16" ht="20.25" customHeight="1" x14ac:dyDescent="0.3">
      <c r="A5" s="1" t="s">
        <v>84</v>
      </c>
      <c r="E5" s="33" t="s">
        <v>191</v>
      </c>
    </row>
    <row r="6" spans="1:16" ht="18" x14ac:dyDescent="0.25">
      <c r="E6" s="33" t="s">
        <v>95</v>
      </c>
    </row>
    <row r="8" spans="1:16" ht="15.75" customHeight="1" x14ac:dyDescent="0.25">
      <c r="A8" s="146">
        <f ca="1">TODAY()</f>
        <v>44498</v>
      </c>
      <c r="B8" s="146"/>
      <c r="C8" s="146"/>
    </row>
    <row r="10" spans="1:16" ht="20.25" customHeight="1" x14ac:dyDescent="0.3">
      <c r="A10" s="1" t="s">
        <v>60</v>
      </c>
    </row>
    <row r="11" spans="1:16" x14ac:dyDescent="0.2">
      <c r="A11" t="s">
        <v>59</v>
      </c>
    </row>
    <row r="13" spans="1:16" ht="12.75" customHeight="1" x14ac:dyDescent="0.25">
      <c r="A13" s="2"/>
    </row>
    <row r="14" spans="1:16" ht="12.75" customHeight="1" x14ac:dyDescent="0.2">
      <c r="A14" s="10" t="s">
        <v>29</v>
      </c>
      <c r="B14" s="11"/>
      <c r="C14" s="11"/>
      <c r="D14" s="11"/>
      <c r="E14" s="11"/>
      <c r="F14" s="11"/>
      <c r="G14" s="11"/>
      <c r="H14" s="9" t="s">
        <v>2</v>
      </c>
      <c r="I14" s="10" t="s">
        <v>3</v>
      </c>
      <c r="J14" s="10"/>
      <c r="K14" s="9" t="s">
        <v>4</v>
      </c>
      <c r="L14" s="9"/>
      <c r="M14" s="11"/>
      <c r="N14" s="9" t="s">
        <v>5</v>
      </c>
      <c r="O14" s="9" t="s">
        <v>6</v>
      </c>
      <c r="P14" s="12" t="s">
        <v>7</v>
      </c>
    </row>
    <row r="15" spans="1:16" x14ac:dyDescent="0.2">
      <c r="A15" s="24" t="s">
        <v>86</v>
      </c>
      <c r="E15">
        <v>1390</v>
      </c>
      <c r="F15" t="s">
        <v>1</v>
      </c>
      <c r="H15" s="3">
        <v>1</v>
      </c>
      <c r="I15" t="s">
        <v>96</v>
      </c>
      <c r="K15" s="3" t="s">
        <v>12</v>
      </c>
      <c r="L15" s="3"/>
      <c r="N15" s="4">
        <f>ROUND(E15*E16/9,-2)</f>
        <v>7400</v>
      </c>
      <c r="O15" s="56">
        <v>56</v>
      </c>
      <c r="P15" s="7">
        <f>ROUND(N15*O15,-3)</f>
        <v>414000</v>
      </c>
    </row>
    <row r="16" spans="1:16" x14ac:dyDescent="0.2">
      <c r="A16" t="s">
        <v>0</v>
      </c>
      <c r="E16">
        <v>48</v>
      </c>
      <c r="F16" t="s">
        <v>1</v>
      </c>
      <c r="H16" s="3">
        <f>H15+1</f>
        <v>2</v>
      </c>
      <c r="I16" t="s">
        <v>8</v>
      </c>
      <c r="K16" s="3" t="s">
        <v>9</v>
      </c>
      <c r="L16" s="3"/>
      <c r="N16" s="4">
        <f>E27</f>
        <v>3000</v>
      </c>
      <c r="O16" s="56">
        <v>20</v>
      </c>
      <c r="P16" s="7">
        <f>ROUND(N16*O16,-3)</f>
        <v>60000</v>
      </c>
    </row>
    <row r="17" spans="1:16" x14ac:dyDescent="0.2">
      <c r="A17" s="24" t="s">
        <v>139</v>
      </c>
      <c r="E17">
        <v>0</v>
      </c>
      <c r="F17" t="s">
        <v>1</v>
      </c>
      <c r="H17" s="3">
        <f>H16+1</f>
        <v>3</v>
      </c>
      <c r="I17" s="24" t="s">
        <v>182</v>
      </c>
      <c r="K17" s="3" t="s">
        <v>11</v>
      </c>
      <c r="L17" s="3"/>
      <c r="N17" s="4">
        <f>2*(E15)</f>
        <v>2780</v>
      </c>
      <c r="O17" s="56">
        <v>20</v>
      </c>
      <c r="P17" s="7">
        <f>ROUND(N17*O17,-3)</f>
        <v>56000</v>
      </c>
    </row>
    <row r="18" spans="1:16" x14ac:dyDescent="0.2">
      <c r="H18" s="3">
        <f>H17+1</f>
        <v>4</v>
      </c>
      <c r="I18" t="s">
        <v>95</v>
      </c>
      <c r="K18" s="99" t="s">
        <v>12</v>
      </c>
      <c r="L18" s="99"/>
      <c r="N18" s="4">
        <f>ROUND(E15*E17/9,-2)</f>
        <v>0</v>
      </c>
      <c r="O18" s="56">
        <v>24</v>
      </c>
      <c r="P18" s="7">
        <f>ROUND(N18*O18,-3)</f>
        <v>0</v>
      </c>
    </row>
    <row r="19" spans="1:16" x14ac:dyDescent="0.2">
      <c r="A19" t="s">
        <v>87</v>
      </c>
      <c r="D19" s="24" t="s">
        <v>213</v>
      </c>
      <c r="H19" s="3">
        <f>H18+1</f>
        <v>5</v>
      </c>
      <c r="I19" t="s">
        <v>85</v>
      </c>
      <c r="K19" s="3" t="s">
        <v>10</v>
      </c>
      <c r="L19" s="84">
        <v>0</v>
      </c>
      <c r="M19" t="s">
        <v>66</v>
      </c>
      <c r="N19" s="4">
        <f>2*E15*L19</f>
        <v>0</v>
      </c>
      <c r="O19" s="56">
        <v>6.8</v>
      </c>
      <c r="P19" s="7">
        <f>ROUND(N19*O19,-3)</f>
        <v>0</v>
      </c>
    </row>
    <row r="20" spans="1:16" x14ac:dyDescent="0.2">
      <c r="D20" s="24"/>
      <c r="H20" s="99"/>
      <c r="K20" s="99"/>
      <c r="L20" s="84"/>
      <c r="N20" s="4"/>
      <c r="O20" s="56"/>
      <c r="P20" s="7"/>
    </row>
    <row r="21" spans="1:16" x14ac:dyDescent="0.2">
      <c r="A21" t="s">
        <v>8</v>
      </c>
      <c r="H21" s="99">
        <f>H19+1</f>
        <v>6</v>
      </c>
      <c r="I21" s="24" t="s">
        <v>161</v>
      </c>
      <c r="K21" s="94" t="s">
        <v>11</v>
      </c>
      <c r="L21" s="95">
        <v>0</v>
      </c>
      <c r="M21" s="24" t="s">
        <v>162</v>
      </c>
      <c r="N21" s="4">
        <f>L21</f>
        <v>0</v>
      </c>
      <c r="O21" s="96">
        <f>800*2</f>
        <v>1600</v>
      </c>
      <c r="P21" s="7">
        <f t="shared" ref="P21" si="0">ROUND(N21*O21,-3)</f>
        <v>0</v>
      </c>
    </row>
    <row r="22" spans="1:16" x14ac:dyDescent="0.2">
      <c r="B22" t="s">
        <v>25</v>
      </c>
      <c r="E22">
        <f>E15</f>
        <v>1390</v>
      </c>
      <c r="F22" t="s">
        <v>1</v>
      </c>
      <c r="H22" s="99">
        <f t="shared" ref="H22:H29" si="1">H21+1</f>
        <v>7</v>
      </c>
      <c r="I22" s="24" t="s">
        <v>83</v>
      </c>
      <c r="K22" s="3" t="s">
        <v>32</v>
      </c>
      <c r="L22" s="3"/>
      <c r="N22" s="4">
        <v>0</v>
      </c>
      <c r="O22" s="6">
        <v>300000</v>
      </c>
      <c r="P22" s="7">
        <f>ROUND(N22*O22,-3)</f>
        <v>0</v>
      </c>
    </row>
    <row r="23" spans="1:16" x14ac:dyDescent="0.2">
      <c r="B23" s="24" t="s">
        <v>98</v>
      </c>
      <c r="E23">
        <v>17</v>
      </c>
      <c r="F23" t="s">
        <v>1</v>
      </c>
      <c r="H23" s="99">
        <f t="shared" si="1"/>
        <v>8</v>
      </c>
      <c r="I23" s="24" t="s">
        <v>90</v>
      </c>
      <c r="K23" s="82" t="s">
        <v>14</v>
      </c>
      <c r="L23" s="8">
        <v>0.3</v>
      </c>
      <c r="M23" s="24" t="s">
        <v>99</v>
      </c>
      <c r="O23" s="5" t="s">
        <v>15</v>
      </c>
      <c r="P23" s="7">
        <f t="shared" ref="P23:P29" si="2">ROUND(SUM(P$15:P$19)*L23,-3)</f>
        <v>159000</v>
      </c>
    </row>
    <row r="24" spans="1:16" x14ac:dyDescent="0.2">
      <c r="B24" t="s">
        <v>61</v>
      </c>
      <c r="E24">
        <f>E23+(4*E25*3+4)</f>
        <v>39</v>
      </c>
      <c r="F24" t="s">
        <v>1</v>
      </c>
      <c r="H24" s="82">
        <f t="shared" si="1"/>
        <v>9</v>
      </c>
      <c r="I24" t="s">
        <v>13</v>
      </c>
      <c r="K24" s="3" t="s">
        <v>14</v>
      </c>
      <c r="L24" s="8">
        <v>0.45</v>
      </c>
      <c r="M24" s="24" t="s">
        <v>99</v>
      </c>
      <c r="O24" s="5" t="s">
        <v>15</v>
      </c>
      <c r="P24" s="7">
        <f t="shared" si="2"/>
        <v>239000</v>
      </c>
    </row>
    <row r="25" spans="1:16" x14ac:dyDescent="0.2">
      <c r="B25" t="s">
        <v>62</v>
      </c>
      <c r="E25" s="14">
        <v>1.5</v>
      </c>
      <c r="F25" t="s">
        <v>1</v>
      </c>
      <c r="H25" s="3">
        <f t="shared" si="1"/>
        <v>10</v>
      </c>
      <c r="I25" t="s">
        <v>16</v>
      </c>
      <c r="K25" s="3" t="s">
        <v>14</v>
      </c>
      <c r="L25" s="8">
        <v>0.15</v>
      </c>
      <c r="M25" s="24" t="s">
        <v>99</v>
      </c>
      <c r="O25" s="5" t="s">
        <v>15</v>
      </c>
      <c r="P25" s="7">
        <f t="shared" si="2"/>
        <v>80000</v>
      </c>
    </row>
    <row r="26" spans="1:16" x14ac:dyDescent="0.2">
      <c r="B26" t="s">
        <v>63</v>
      </c>
      <c r="E26">
        <f>E24*E25</f>
        <v>58.5</v>
      </c>
      <c r="F26" t="s">
        <v>10</v>
      </c>
      <c r="H26" s="3">
        <f t="shared" si="1"/>
        <v>11</v>
      </c>
      <c r="I26" t="s">
        <v>17</v>
      </c>
      <c r="K26" s="3" t="s">
        <v>14</v>
      </c>
      <c r="L26" s="8">
        <v>0.3</v>
      </c>
      <c r="M26" s="24" t="s">
        <v>99</v>
      </c>
      <c r="O26" s="5" t="s">
        <v>15</v>
      </c>
      <c r="P26" s="7">
        <f t="shared" si="2"/>
        <v>159000</v>
      </c>
    </row>
    <row r="27" spans="1:16" x14ac:dyDescent="0.2">
      <c r="B27" t="s">
        <v>64</v>
      </c>
      <c r="E27" s="54">
        <f>ROUND((E26*E22)/27,-2)</f>
        <v>3000</v>
      </c>
      <c r="F27" s="53" t="s">
        <v>9</v>
      </c>
      <c r="H27" s="3">
        <f t="shared" si="1"/>
        <v>12</v>
      </c>
      <c r="I27" t="s">
        <v>18</v>
      </c>
      <c r="K27" s="3" t="s">
        <v>14</v>
      </c>
      <c r="L27" s="32">
        <v>1.4999999999999999E-2</v>
      </c>
      <c r="M27" s="24" t="s">
        <v>99</v>
      </c>
      <c r="O27" s="5" t="s">
        <v>15</v>
      </c>
      <c r="P27" s="7">
        <f t="shared" si="2"/>
        <v>8000</v>
      </c>
    </row>
    <row r="28" spans="1:16" x14ac:dyDescent="0.2">
      <c r="A28" s="24"/>
      <c r="H28" s="3">
        <f t="shared" si="1"/>
        <v>13</v>
      </c>
      <c r="I28" t="s">
        <v>31</v>
      </c>
      <c r="K28" s="3" t="s">
        <v>14</v>
      </c>
      <c r="L28" s="8">
        <v>0</v>
      </c>
      <c r="M28" s="24" t="s">
        <v>99</v>
      </c>
      <c r="O28" s="5" t="s">
        <v>15</v>
      </c>
      <c r="P28" s="7">
        <f t="shared" si="2"/>
        <v>0</v>
      </c>
    </row>
    <row r="29" spans="1:16" x14ac:dyDescent="0.2">
      <c r="B29" s="24"/>
      <c r="H29" s="3">
        <f t="shared" si="1"/>
        <v>14</v>
      </c>
      <c r="I29" t="s">
        <v>19</v>
      </c>
      <c r="K29" s="3" t="s">
        <v>14</v>
      </c>
      <c r="L29" s="8">
        <v>0.3</v>
      </c>
      <c r="M29" s="24" t="s">
        <v>99</v>
      </c>
      <c r="O29" s="5" t="s">
        <v>15</v>
      </c>
      <c r="P29" s="7">
        <f t="shared" si="2"/>
        <v>159000</v>
      </c>
    </row>
    <row r="30" spans="1:16" x14ac:dyDescent="0.2">
      <c r="M30" s="24"/>
    </row>
    <row r="31" spans="1:16" x14ac:dyDescent="0.2">
      <c r="H31" s="3">
        <f>H29+1</f>
        <v>15</v>
      </c>
      <c r="I31" t="s">
        <v>20</v>
      </c>
      <c r="K31" s="3" t="s">
        <v>14</v>
      </c>
      <c r="L31" s="8">
        <v>0.2</v>
      </c>
      <c r="M31" s="24" t="s">
        <v>99</v>
      </c>
      <c r="O31" s="5" t="s">
        <v>15</v>
      </c>
      <c r="P31" s="7">
        <f>ROUND(SUM(P$15:P$19)*L31,-3)</f>
        <v>106000</v>
      </c>
    </row>
    <row r="32" spans="1:16" x14ac:dyDescent="0.2">
      <c r="A32" t="s">
        <v>27</v>
      </c>
      <c r="E32" t="s">
        <v>22</v>
      </c>
      <c r="F32" t="s">
        <v>22</v>
      </c>
    </row>
    <row r="33" spans="1:18" x14ac:dyDescent="0.2">
      <c r="A33" t="s">
        <v>22</v>
      </c>
      <c r="B33" t="s">
        <v>110</v>
      </c>
      <c r="E33" s="79">
        <v>60</v>
      </c>
      <c r="F33" t="s">
        <v>1</v>
      </c>
      <c r="H33" s="3">
        <f>H31+1</f>
        <v>16</v>
      </c>
      <c r="I33" t="s">
        <v>36</v>
      </c>
      <c r="K33" s="3" t="s">
        <v>14</v>
      </c>
      <c r="L33" s="8">
        <v>0.15</v>
      </c>
      <c r="M33" s="24" t="s">
        <v>92</v>
      </c>
      <c r="O33" s="5" t="s">
        <v>15</v>
      </c>
      <c r="P33" s="7">
        <f>ROUND(SUM(P15:P31)*L33,-3)</f>
        <v>216000</v>
      </c>
    </row>
    <row r="34" spans="1:18" x14ac:dyDescent="0.2">
      <c r="B34" t="s">
        <v>70</v>
      </c>
      <c r="E34">
        <v>74</v>
      </c>
      <c r="F34" t="s">
        <v>1</v>
      </c>
      <c r="L34" s="8"/>
      <c r="O34" s="5"/>
      <c r="P34" s="7"/>
    </row>
    <row r="35" spans="1:18" x14ac:dyDescent="0.2">
      <c r="B35" t="s">
        <v>69</v>
      </c>
      <c r="E35">
        <v>90</v>
      </c>
      <c r="F35" t="s">
        <v>1</v>
      </c>
      <c r="H35" s="3">
        <f>H33+1</f>
        <v>17</v>
      </c>
      <c r="I35" t="s">
        <v>28</v>
      </c>
      <c r="K35" s="3" t="s">
        <v>24</v>
      </c>
      <c r="M35" s="24" t="s">
        <v>22</v>
      </c>
      <c r="N35" s="15">
        <f>E37</f>
        <v>1</v>
      </c>
      <c r="O35" s="6">
        <v>60000</v>
      </c>
      <c r="P35" s="7">
        <f>ROUND(N35*O35,-3)</f>
        <v>60000</v>
      </c>
    </row>
    <row r="36" spans="1:18" x14ac:dyDescent="0.2">
      <c r="B36" t="s">
        <v>25</v>
      </c>
      <c r="E36">
        <f>E15</f>
        <v>1390</v>
      </c>
      <c r="F36" t="s">
        <v>1</v>
      </c>
      <c r="H36" s="55">
        <f>H35+1</f>
        <v>18</v>
      </c>
      <c r="I36" t="s">
        <v>23</v>
      </c>
      <c r="K36" s="55"/>
      <c r="O36" s="6">
        <v>0</v>
      </c>
      <c r="P36" s="7">
        <f>ROUND(N36*O36,-3)</f>
        <v>0</v>
      </c>
    </row>
    <row r="37" spans="1:18" x14ac:dyDescent="0.2">
      <c r="B37" t="s">
        <v>65</v>
      </c>
      <c r="E37" s="14">
        <f>ROUND(((E35-E33)*E36)/43560,1)</f>
        <v>1</v>
      </c>
      <c r="F37" t="s">
        <v>24</v>
      </c>
      <c r="H37" s="3">
        <f>H36+1</f>
        <v>19</v>
      </c>
      <c r="I37" s="24" t="s">
        <v>72</v>
      </c>
      <c r="K37" s="55" t="s">
        <v>11</v>
      </c>
      <c r="N37" s="4">
        <f>E15</f>
        <v>1390</v>
      </c>
      <c r="O37" s="96">
        <v>50</v>
      </c>
      <c r="P37" s="7">
        <f>ROUND(N37*O37,-3)</f>
        <v>70000</v>
      </c>
    </row>
    <row r="39" spans="1:18" x14ac:dyDescent="0.2">
      <c r="E39" s="14"/>
      <c r="H39" s="13">
        <f>H37+1</f>
        <v>20</v>
      </c>
      <c r="I39" s="11" t="s">
        <v>21</v>
      </c>
      <c r="J39" s="11"/>
      <c r="K39" s="13" t="s">
        <v>14</v>
      </c>
      <c r="L39" s="16">
        <v>0.3</v>
      </c>
      <c r="M39" s="57" t="s">
        <v>91</v>
      </c>
      <c r="N39" s="11"/>
      <c r="O39" s="17" t="s">
        <v>15</v>
      </c>
      <c r="P39" s="18">
        <f>ROUND(SUM(P15:P38)*L39,-4)</f>
        <v>540000</v>
      </c>
    </row>
    <row r="40" spans="1:18" ht="15.75" x14ac:dyDescent="0.25">
      <c r="A40" s="29" t="s">
        <v>40</v>
      </c>
      <c r="E40" s="14"/>
      <c r="H40" s="28" t="s">
        <v>41</v>
      </c>
      <c r="I40" s="20"/>
      <c r="J40" s="20"/>
      <c r="K40" s="3"/>
      <c r="P40" s="26">
        <f>ROUND(SUM(P15:P39),-4)</f>
        <v>2330000</v>
      </c>
    </row>
    <row r="42" spans="1:18" x14ac:dyDescent="0.2">
      <c r="A42" s="19" t="s">
        <v>26</v>
      </c>
      <c r="B42" t="s">
        <v>88</v>
      </c>
      <c r="H42" s="3" t="s">
        <v>42</v>
      </c>
      <c r="I42" s="24" t="s">
        <v>67</v>
      </c>
      <c r="L42" s="8">
        <v>0.2</v>
      </c>
      <c r="M42" t="s">
        <v>37</v>
      </c>
      <c r="O42" s="24"/>
      <c r="P42" s="7">
        <f>ROUND((P33)*L42,-3)</f>
        <v>43000</v>
      </c>
      <c r="Q42" s="147" t="s">
        <v>48</v>
      </c>
      <c r="R42" s="147"/>
    </row>
    <row r="43" spans="1:18" x14ac:dyDescent="0.2">
      <c r="A43" s="19"/>
      <c r="H43" s="3" t="s">
        <v>43</v>
      </c>
      <c r="I43" s="24" t="s">
        <v>36</v>
      </c>
      <c r="J43" s="24"/>
      <c r="K43" s="24"/>
      <c r="L43" s="24"/>
      <c r="M43" s="24"/>
      <c r="N43" s="24"/>
      <c r="O43" s="24"/>
      <c r="P43" s="25">
        <f>P33</f>
        <v>216000</v>
      </c>
      <c r="Q43" s="147" t="s">
        <v>48</v>
      </c>
      <c r="R43" s="147"/>
    </row>
    <row r="44" spans="1:18" x14ac:dyDescent="0.2">
      <c r="H44" s="3" t="s">
        <v>44</v>
      </c>
      <c r="I44" s="24" t="s">
        <v>73</v>
      </c>
      <c r="J44" s="24"/>
      <c r="K44" s="24"/>
      <c r="L44" s="24"/>
      <c r="M44" s="24"/>
      <c r="N44" s="24"/>
      <c r="O44" s="24"/>
      <c r="P44" s="25">
        <f>ROUND((P35+P36+P37),-3)</f>
        <v>130000</v>
      </c>
      <c r="Q44" s="147" t="s">
        <v>48</v>
      </c>
      <c r="R44" s="147"/>
    </row>
    <row r="45" spans="1:18" x14ac:dyDescent="0.2">
      <c r="H45" s="3" t="s">
        <v>45</v>
      </c>
      <c r="I45" s="24" t="s">
        <v>33</v>
      </c>
      <c r="J45" s="24"/>
      <c r="K45" s="24"/>
      <c r="L45" s="24"/>
      <c r="M45" s="24"/>
      <c r="N45" s="24"/>
      <c r="O45" s="24"/>
      <c r="P45" s="25">
        <f>ROUND(SUM(P15:P31),-3)</f>
        <v>1440000</v>
      </c>
      <c r="Q45" s="147" t="s">
        <v>48</v>
      </c>
      <c r="R45" s="147"/>
    </row>
    <row r="46" spans="1:18" x14ac:dyDescent="0.2">
      <c r="H46" s="30" t="s">
        <v>46</v>
      </c>
      <c r="I46" s="21" t="s">
        <v>34</v>
      </c>
      <c r="J46" s="21"/>
      <c r="K46" s="21"/>
      <c r="L46" s="22">
        <v>7.0000000000000007E-2</v>
      </c>
      <c r="M46" s="21" t="s">
        <v>38</v>
      </c>
      <c r="N46" s="21"/>
      <c r="O46" s="21"/>
      <c r="P46" s="23">
        <f>ROUND(P45*L46,-3)</f>
        <v>101000</v>
      </c>
      <c r="Q46" s="147" t="s">
        <v>48</v>
      </c>
      <c r="R46" s="147"/>
    </row>
    <row r="47" spans="1:18" x14ac:dyDescent="0.2">
      <c r="H47" s="13" t="s">
        <v>47</v>
      </c>
      <c r="I47" s="31" t="s">
        <v>21</v>
      </c>
      <c r="J47" s="11"/>
      <c r="K47" s="11"/>
      <c r="L47" s="16">
        <f>L39</f>
        <v>0.3</v>
      </c>
      <c r="M47" s="57" t="s">
        <v>49</v>
      </c>
      <c r="N47" s="11"/>
      <c r="O47" s="11"/>
      <c r="P47" s="18">
        <f>ROUND(SUM(P42:P46)*L47,-4)</f>
        <v>580000</v>
      </c>
    </row>
    <row r="49" spans="8:16" ht="15.75" x14ac:dyDescent="0.25">
      <c r="H49" s="2" t="s">
        <v>39</v>
      </c>
      <c r="O49" s="145">
        <f>ROUND(SUM(P42:P47),-4)</f>
        <v>2510000</v>
      </c>
      <c r="P49" s="145"/>
    </row>
  </sheetData>
  <mergeCells count="7">
    <mergeCell ref="Q45:R45"/>
    <mergeCell ref="Q46:R46"/>
    <mergeCell ref="O49:P49"/>
    <mergeCell ref="A8:C8"/>
    <mergeCell ref="Q42:R42"/>
    <mergeCell ref="Q43:R43"/>
    <mergeCell ref="Q44:R44"/>
  </mergeCells>
  <phoneticPr fontId="3" type="noConversion"/>
  <pageMargins left="0.75" right="0.75" top="1" bottom="1" header="0.5" footer="0.5"/>
  <pageSetup paperSize="17" scale="70" fitToHeight="2" orientation="landscape" r:id="rId1"/>
  <headerFooter alignWithMargins="0">
    <oddFooter>&amp;A</oddFooter>
  </headerFooter>
  <rowBreaks count="1" manualBreakCount="1">
    <brk id="48" max="16383" man="1"/>
  </rowBreaks>
  <colBreaks count="1" manualBreakCount="1">
    <brk id="17" max="1048575" man="1"/>
  </colBreaks>
  <ignoredErrors>
    <ignoredError sqref="A4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ECA2F-18AB-4FBF-8AAC-5B74299234B9}">
  <sheetPr>
    <pageSetUpPr fitToPage="1"/>
  </sheetPr>
  <dimension ref="A1:M28"/>
  <sheetViews>
    <sheetView zoomScaleNormal="100" workbookViewId="0">
      <selection activeCell="F12" sqref="F12:G12"/>
    </sheetView>
  </sheetViews>
  <sheetFormatPr defaultRowHeight="12.75" x14ac:dyDescent="0.2"/>
  <cols>
    <col min="1" max="1" width="4.7109375" customWidth="1"/>
    <col min="11" max="15" width="9.140625" customWidth="1"/>
  </cols>
  <sheetData>
    <row r="1" spans="1:13" ht="26.25" x14ac:dyDescent="0.4">
      <c r="A1" s="27" t="s">
        <v>141</v>
      </c>
    </row>
    <row r="2" spans="1:13" ht="20.25" x14ac:dyDescent="0.3">
      <c r="A2" s="91" t="s">
        <v>140</v>
      </c>
    </row>
    <row r="3" spans="1:13" ht="20.25" customHeight="1" x14ac:dyDescent="0.35">
      <c r="A3" s="34"/>
    </row>
    <row r="4" spans="1:13" ht="20.25" customHeight="1" x14ac:dyDescent="0.3">
      <c r="A4" s="1" t="s">
        <v>60</v>
      </c>
      <c r="E4" s="33"/>
      <c r="J4" s="90"/>
      <c r="K4" s="2"/>
      <c r="L4" s="90"/>
      <c r="M4" s="2"/>
    </row>
    <row r="5" spans="1:13" ht="12.75" customHeight="1" x14ac:dyDescent="0.2"/>
    <row r="6" spans="1:13" ht="15.75" x14ac:dyDescent="0.25">
      <c r="A6" s="146">
        <f ca="1">TODAY()</f>
        <v>44498</v>
      </c>
      <c r="B6" s="146"/>
      <c r="C6" s="146"/>
    </row>
    <row r="8" spans="1:13" ht="20.25" customHeight="1" x14ac:dyDescent="0.3">
      <c r="A8" s="1" t="s">
        <v>193</v>
      </c>
    </row>
    <row r="9" spans="1:13" ht="20.25" customHeight="1" x14ac:dyDescent="0.25">
      <c r="A9" s="33" t="s">
        <v>201</v>
      </c>
    </row>
    <row r="10" spans="1:13" ht="15.75" x14ac:dyDescent="0.25">
      <c r="F10" s="149" t="s">
        <v>165</v>
      </c>
      <c r="G10" s="149"/>
      <c r="H10" s="97"/>
      <c r="I10" s="149" t="s">
        <v>163</v>
      </c>
      <c r="J10" s="149"/>
      <c r="K10" s="98"/>
      <c r="L10" s="149" t="s">
        <v>164</v>
      </c>
      <c r="M10" s="149"/>
    </row>
    <row r="11" spans="1:13" ht="15.75" x14ac:dyDescent="0.25">
      <c r="F11" s="149" t="s">
        <v>7</v>
      </c>
      <c r="G11" s="149"/>
      <c r="H11" s="97"/>
      <c r="I11" s="149" t="s">
        <v>75</v>
      </c>
      <c r="J11" s="149"/>
      <c r="K11" s="98"/>
      <c r="L11" s="149" t="s">
        <v>81</v>
      </c>
      <c r="M11" s="149"/>
    </row>
    <row r="12" spans="1:13" ht="15" x14ac:dyDescent="0.25">
      <c r="B12" s="81" t="s">
        <v>149</v>
      </c>
      <c r="F12" s="148">
        <f>'Lightner - 2-Lane Resurfacing'!O48</f>
        <v>1660000</v>
      </c>
      <c r="G12" s="148"/>
      <c r="H12" s="24"/>
      <c r="I12" s="148">
        <f>F12</f>
        <v>1660000</v>
      </c>
      <c r="J12" s="148"/>
      <c r="K12" s="24"/>
      <c r="L12" s="148">
        <f>'Lightner - 2-Lane Resurfacing'!W48</f>
        <v>0</v>
      </c>
      <c r="M12" s="148"/>
    </row>
    <row r="13" spans="1:13" ht="15" x14ac:dyDescent="0.25">
      <c r="B13" s="81" t="s">
        <v>150</v>
      </c>
      <c r="F13" s="148">
        <f>'Lightner - 3-Lane Widening'!O49</f>
        <v>2990000</v>
      </c>
      <c r="G13" s="148"/>
      <c r="H13" s="24"/>
      <c r="I13" s="148">
        <f>F13</f>
        <v>2990000</v>
      </c>
      <c r="J13" s="148"/>
      <c r="K13" s="24"/>
      <c r="L13" s="148">
        <f>'Lightner - 3-Lane Widening'!W49</f>
        <v>0</v>
      </c>
      <c r="M13" s="148"/>
    </row>
    <row r="14" spans="1:13" ht="15" x14ac:dyDescent="0.25">
      <c r="B14" s="81" t="s">
        <v>147</v>
      </c>
      <c r="F14" s="148">
        <f>'N Dixie - 3-Lane Resurfacing'!O47</f>
        <v>980000</v>
      </c>
      <c r="G14" s="148"/>
      <c r="H14" s="24"/>
      <c r="I14" s="148">
        <f>F14</f>
        <v>980000</v>
      </c>
      <c r="J14" s="148"/>
      <c r="K14" s="24"/>
      <c r="L14" s="148">
        <f>'N Dixie - 3-Lane Resurfacing'!W47</f>
        <v>0</v>
      </c>
      <c r="M14" s="148"/>
    </row>
    <row r="15" spans="1:13" ht="15" x14ac:dyDescent="0.25">
      <c r="B15" s="81" t="s">
        <v>148</v>
      </c>
      <c r="F15" s="148">
        <f>'N Dixie - 3-Lane Widening'!O50</f>
        <v>4730000</v>
      </c>
      <c r="G15" s="148"/>
      <c r="H15" s="24"/>
      <c r="I15" s="148">
        <f>F15</f>
        <v>4730000</v>
      </c>
      <c r="J15" s="148"/>
      <c r="K15" s="24"/>
      <c r="L15" s="148">
        <f>'N Dixie - 3-Lane Widening'!W50</f>
        <v>0</v>
      </c>
      <c r="M15" s="148"/>
    </row>
    <row r="16" spans="1:13" ht="15" x14ac:dyDescent="0.25">
      <c r="B16" s="81" t="s">
        <v>152</v>
      </c>
      <c r="F16" s="148">
        <f>'N Dixie - SB Resurfacing'!O46</f>
        <v>310000</v>
      </c>
      <c r="G16" s="148"/>
      <c r="H16" s="24"/>
      <c r="I16" s="148">
        <f>'Lightner - 2-Lane Resurfacing'!S52</f>
        <v>0</v>
      </c>
      <c r="J16" s="148"/>
      <c r="K16" s="24"/>
      <c r="L16" s="148">
        <f>F16</f>
        <v>310000</v>
      </c>
      <c r="M16" s="148"/>
    </row>
    <row r="17" spans="1:13" ht="15" x14ac:dyDescent="0.25">
      <c r="B17" s="81" t="s">
        <v>153</v>
      </c>
      <c r="F17" s="148">
        <f>'N Dixie - NB Widening'!O52</f>
        <v>2430000</v>
      </c>
      <c r="G17" s="148"/>
      <c r="H17" s="24"/>
      <c r="I17" s="148">
        <f>'Lightner - 2-Lane Resurfacing'!S53</f>
        <v>0</v>
      </c>
      <c r="J17" s="148"/>
      <c r="K17" s="24"/>
      <c r="L17" s="148">
        <f>F17</f>
        <v>2430000</v>
      </c>
      <c r="M17" s="148"/>
    </row>
    <row r="18" spans="1:13" ht="15" x14ac:dyDescent="0.25">
      <c r="B18" s="81" t="s">
        <v>151</v>
      </c>
      <c r="F18" s="151">
        <f>'Northwoods Blvd'!O49</f>
        <v>2510000</v>
      </c>
      <c r="G18" s="151"/>
      <c r="H18" s="24"/>
      <c r="I18" s="151">
        <f>'Lightner - 2-Lane Resurfacing'!S54</f>
        <v>0</v>
      </c>
      <c r="J18" s="151"/>
      <c r="K18" s="24"/>
      <c r="L18" s="151">
        <f>F18</f>
        <v>2510000</v>
      </c>
      <c r="M18" s="151"/>
    </row>
    <row r="19" spans="1:13" ht="15" x14ac:dyDescent="0.2"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1:13" ht="15.75" x14ac:dyDescent="0.25">
      <c r="B20" s="2" t="s">
        <v>179</v>
      </c>
      <c r="C20" s="118"/>
      <c r="D20" s="118"/>
      <c r="E20" s="118"/>
      <c r="F20" s="145">
        <f>SUM(F12:G18)</f>
        <v>15610000</v>
      </c>
      <c r="G20" s="145"/>
      <c r="H20" s="118"/>
      <c r="I20" s="145">
        <f>SUM(I12:J18)</f>
        <v>10360000</v>
      </c>
      <c r="J20" s="145"/>
      <c r="K20" s="118"/>
      <c r="L20" s="145">
        <f>SUM(L12:M18)</f>
        <v>5250000</v>
      </c>
      <c r="M20" s="145"/>
    </row>
    <row r="22" spans="1:13" ht="15.75" x14ac:dyDescent="0.25">
      <c r="I22" s="150">
        <f>I20/F20</f>
        <v>0.66367713004484308</v>
      </c>
      <c r="J22" s="150"/>
      <c r="K22" s="140"/>
      <c r="L22" s="150">
        <f>L20/F20</f>
        <v>0.33632286995515698</v>
      </c>
      <c r="M22" s="150"/>
    </row>
    <row r="25" spans="1:13" ht="15.75" x14ac:dyDescent="0.25">
      <c r="A25" s="29" t="s">
        <v>40</v>
      </c>
    </row>
    <row r="26" spans="1:13" ht="15" x14ac:dyDescent="0.2">
      <c r="A26" s="142" t="s">
        <v>26</v>
      </c>
      <c r="B26" s="118" t="s">
        <v>189</v>
      </c>
    </row>
    <row r="27" spans="1:13" ht="15" x14ac:dyDescent="0.2">
      <c r="A27" s="118"/>
      <c r="B27" s="118"/>
    </row>
    <row r="28" spans="1:13" ht="15" x14ac:dyDescent="0.2">
      <c r="A28" s="142" t="s">
        <v>187</v>
      </c>
      <c r="B28" s="118" t="s">
        <v>190</v>
      </c>
    </row>
  </sheetData>
  <mergeCells count="33">
    <mergeCell ref="L10:M10"/>
    <mergeCell ref="L11:M11"/>
    <mergeCell ref="L22:M22"/>
    <mergeCell ref="I20:J20"/>
    <mergeCell ref="L12:M12"/>
    <mergeCell ref="L13:M13"/>
    <mergeCell ref="L14:M14"/>
    <mergeCell ref="L15:M15"/>
    <mergeCell ref="L16:M16"/>
    <mergeCell ref="L17:M17"/>
    <mergeCell ref="L18:M18"/>
    <mergeCell ref="L20:M20"/>
    <mergeCell ref="I16:J16"/>
    <mergeCell ref="F20:G20"/>
    <mergeCell ref="I10:J10"/>
    <mergeCell ref="I11:J11"/>
    <mergeCell ref="I22:J22"/>
    <mergeCell ref="I17:J17"/>
    <mergeCell ref="I18:J18"/>
    <mergeCell ref="F16:G16"/>
    <mergeCell ref="F17:G17"/>
    <mergeCell ref="F18:G18"/>
    <mergeCell ref="I12:J12"/>
    <mergeCell ref="I13:J13"/>
    <mergeCell ref="I14:J14"/>
    <mergeCell ref="I15:J15"/>
    <mergeCell ref="A6:C6"/>
    <mergeCell ref="F12:G12"/>
    <mergeCell ref="F13:G13"/>
    <mergeCell ref="F14:G14"/>
    <mergeCell ref="F15:G15"/>
    <mergeCell ref="F11:G11"/>
    <mergeCell ref="F10:G10"/>
  </mergeCells>
  <pageMargins left="0.75" right="0.75" top="1" bottom="1" header="0.5" footer="0.5"/>
  <pageSetup paperSize="17" fitToHeight="2" orientation="landscape" r:id="rId1"/>
  <headerFooter alignWithMargins="0">
    <oddFooter>&amp;A</oddFooter>
  </headerFooter>
  <colBreaks count="1" manualBreakCount="1">
    <brk id="16" max="1048575" man="1"/>
  </colBreaks>
  <ignoredErrors>
    <ignoredError sqref="A26 A2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41"/>
  <sheetViews>
    <sheetView tabSelected="1" topLeftCell="A7" zoomScaleNormal="100" workbookViewId="0">
      <selection activeCell="O40" sqref="O40:V41"/>
    </sheetView>
  </sheetViews>
  <sheetFormatPr defaultRowHeight="12.75" x14ac:dyDescent="0.2"/>
  <cols>
    <col min="1" max="13" width="9.140625" customWidth="1"/>
    <col min="14" max="14" width="12.7109375" customWidth="1"/>
    <col min="24" max="24" width="10" bestFit="1" customWidth="1"/>
    <col min="26" max="26" width="10" bestFit="1" customWidth="1"/>
  </cols>
  <sheetData>
    <row r="1" spans="1:22" ht="27.75" x14ac:dyDescent="0.4">
      <c r="A1" s="27" t="s">
        <v>141</v>
      </c>
      <c r="J1" s="59"/>
      <c r="K1" s="59"/>
      <c r="L1" s="59"/>
      <c r="M1" s="59"/>
      <c r="N1" s="59"/>
      <c r="O1" s="152"/>
      <c r="P1" s="152"/>
      <c r="Q1" s="152"/>
      <c r="R1" s="152"/>
    </row>
    <row r="2" spans="1:22" ht="23.25" x14ac:dyDescent="0.35">
      <c r="A2" s="91" t="s">
        <v>140</v>
      </c>
      <c r="J2" s="59"/>
      <c r="K2" s="59"/>
      <c r="L2" s="59"/>
      <c r="M2" s="59"/>
      <c r="N2" s="59"/>
      <c r="O2" s="156"/>
      <c r="P2" s="156"/>
      <c r="Q2" s="156"/>
      <c r="R2" s="156"/>
      <c r="S2" s="156"/>
    </row>
    <row r="3" spans="1:22" ht="20.25" customHeight="1" x14ac:dyDescent="0.35">
      <c r="A3" s="34"/>
      <c r="J3" s="59"/>
      <c r="K3" s="59"/>
      <c r="L3" s="59"/>
      <c r="M3" s="59"/>
      <c r="N3" s="59"/>
      <c r="O3" s="74"/>
      <c r="P3" s="74"/>
      <c r="Q3" s="74"/>
      <c r="R3" s="74"/>
    </row>
    <row r="4" spans="1:22" ht="20.25" customHeight="1" x14ac:dyDescent="0.4">
      <c r="A4" s="1" t="s">
        <v>178</v>
      </c>
      <c r="O4" s="152"/>
      <c r="P4" s="152"/>
      <c r="Q4" s="152"/>
      <c r="R4" s="152"/>
    </row>
    <row r="5" spans="1:22" ht="12.75" customHeight="1" x14ac:dyDescent="0.4">
      <c r="O5" s="111"/>
      <c r="P5" s="111"/>
      <c r="Q5" s="111"/>
      <c r="R5" s="111"/>
    </row>
    <row r="6" spans="1:22" ht="15.75" customHeight="1" x14ac:dyDescent="0.4">
      <c r="A6" s="185">
        <f ca="1">TODAY()</f>
        <v>44498</v>
      </c>
      <c r="B6" s="185"/>
      <c r="C6" s="185"/>
      <c r="D6" s="185"/>
      <c r="E6" s="185"/>
      <c r="F6" s="185"/>
      <c r="O6" s="111"/>
      <c r="P6" s="111"/>
      <c r="Q6" s="111"/>
      <c r="R6" s="111"/>
    </row>
    <row r="7" spans="1:22" ht="12.75" customHeight="1" x14ac:dyDescent="0.4">
      <c r="O7" s="111"/>
      <c r="P7" s="111"/>
      <c r="Q7" s="111"/>
      <c r="R7" s="111"/>
    </row>
    <row r="8" spans="1:22" ht="12.75" customHeight="1" x14ac:dyDescent="0.25">
      <c r="A8" s="33" t="s">
        <v>22</v>
      </c>
    </row>
    <row r="9" spans="1:22" ht="18" x14ac:dyDescent="0.25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102" t="s">
        <v>165</v>
      </c>
      <c r="O9" s="170" t="s">
        <v>77</v>
      </c>
      <c r="P9" s="170"/>
      <c r="Q9" s="170"/>
      <c r="R9" s="171"/>
      <c r="S9" s="177" t="s">
        <v>180</v>
      </c>
      <c r="T9" s="170"/>
      <c r="U9" s="170"/>
      <c r="V9" s="171"/>
    </row>
    <row r="10" spans="1:22" ht="18" x14ac:dyDescent="0.25">
      <c r="A10" s="63"/>
      <c r="B10" s="64"/>
      <c r="C10" s="64"/>
      <c r="D10" s="64"/>
      <c r="E10" s="64"/>
      <c r="F10" s="64"/>
      <c r="G10" s="64"/>
      <c r="H10" s="73" t="s">
        <v>170</v>
      </c>
      <c r="I10" s="64"/>
      <c r="J10" s="186" t="s">
        <v>172</v>
      </c>
      <c r="K10" s="186"/>
      <c r="L10" s="186"/>
      <c r="M10" s="73"/>
      <c r="N10" s="104" t="s">
        <v>25</v>
      </c>
      <c r="O10" s="172"/>
      <c r="P10" s="172"/>
      <c r="Q10" s="172"/>
      <c r="R10" s="173"/>
      <c r="S10" s="178"/>
      <c r="T10" s="172"/>
      <c r="U10" s="172"/>
      <c r="V10" s="173"/>
    </row>
    <row r="11" spans="1:22" ht="18" x14ac:dyDescent="0.25">
      <c r="A11" s="112" t="s">
        <v>166</v>
      </c>
      <c r="B11" s="113"/>
      <c r="C11" s="100"/>
      <c r="D11" s="100"/>
      <c r="E11" s="100"/>
      <c r="F11" s="100" t="s">
        <v>74</v>
      </c>
      <c r="G11" s="11"/>
      <c r="H11" s="100" t="s">
        <v>168</v>
      </c>
      <c r="I11" s="61"/>
      <c r="J11" s="100" t="s">
        <v>173</v>
      </c>
      <c r="K11" s="100"/>
      <c r="L11" s="100" t="s">
        <v>168</v>
      </c>
      <c r="M11" s="100"/>
      <c r="N11" s="103" t="s">
        <v>173</v>
      </c>
      <c r="O11" s="175" t="s">
        <v>81</v>
      </c>
      <c r="P11" s="175"/>
      <c r="Q11" s="175" t="s">
        <v>76</v>
      </c>
      <c r="R11" s="176"/>
      <c r="S11" s="174" t="s">
        <v>81</v>
      </c>
      <c r="T11" s="175"/>
      <c r="U11" s="175" t="s">
        <v>76</v>
      </c>
      <c r="V11" s="176"/>
    </row>
    <row r="12" spans="1:22" ht="18" customHeight="1" x14ac:dyDescent="0.25">
      <c r="A12" s="129" t="s">
        <v>135</v>
      </c>
      <c r="B12" s="130"/>
      <c r="C12" s="101"/>
      <c r="D12" s="101"/>
      <c r="E12" s="101"/>
      <c r="F12" s="101"/>
      <c r="G12" s="67"/>
      <c r="H12" s="67"/>
      <c r="I12" s="62"/>
      <c r="J12" s="131"/>
      <c r="K12" s="131"/>
      <c r="L12" s="131"/>
      <c r="M12" s="101"/>
      <c r="N12" s="101"/>
      <c r="O12" s="136"/>
      <c r="P12" s="137"/>
      <c r="Q12" s="137"/>
      <c r="R12" s="138"/>
      <c r="S12" s="179">
        <f>ROUND((O20*N20+O32*N32+O38*N38)/N40,1)</f>
        <v>0.3</v>
      </c>
      <c r="T12" s="180"/>
      <c r="U12" s="179">
        <f>ROUND((Q20*N20+Q32*N32+Q38*N38)/N40,1)</f>
        <v>0.7</v>
      </c>
      <c r="V12" s="180"/>
    </row>
    <row r="13" spans="1:22" ht="15" customHeight="1" x14ac:dyDescent="0.2">
      <c r="A13" s="132"/>
      <c r="B13" s="117" t="s">
        <v>167</v>
      </c>
      <c r="C13" s="108"/>
      <c r="D13" s="108"/>
      <c r="E13" s="108"/>
      <c r="F13" s="116">
        <v>2.57</v>
      </c>
      <c r="G13" s="115"/>
      <c r="H13" s="115"/>
      <c r="I13" s="115"/>
      <c r="J13" s="124"/>
      <c r="K13" s="124"/>
      <c r="L13" s="124"/>
      <c r="M13" s="65"/>
      <c r="N13" s="65"/>
      <c r="O13" s="107"/>
      <c r="P13" s="108"/>
      <c r="Q13" s="108"/>
      <c r="R13" s="109"/>
      <c r="S13" s="181"/>
      <c r="T13" s="182"/>
      <c r="U13" s="181"/>
      <c r="V13" s="182"/>
    </row>
    <row r="14" spans="1:22" ht="15" customHeight="1" x14ac:dyDescent="0.2">
      <c r="A14" s="132"/>
      <c r="B14" s="117"/>
      <c r="C14" s="108"/>
      <c r="D14" s="108"/>
      <c r="E14" s="108"/>
      <c r="F14" s="108"/>
      <c r="G14" s="115"/>
      <c r="H14" s="108">
        <f>2900-200</f>
        <v>2700</v>
      </c>
      <c r="I14" s="115"/>
      <c r="J14" s="124"/>
      <c r="K14" s="124"/>
      <c r="L14" s="124"/>
      <c r="M14" s="65"/>
      <c r="N14" s="65"/>
      <c r="O14" s="107"/>
      <c r="P14" s="108"/>
      <c r="Q14" s="108"/>
      <c r="R14" s="109"/>
      <c r="S14" s="181"/>
      <c r="T14" s="182"/>
      <c r="U14" s="181"/>
      <c r="V14" s="182"/>
    </row>
    <row r="15" spans="1:22" ht="15" customHeight="1" x14ac:dyDescent="0.2">
      <c r="A15" s="132"/>
      <c r="B15" s="117" t="s">
        <v>169</v>
      </c>
      <c r="C15" s="108"/>
      <c r="D15" s="108"/>
      <c r="E15" s="108"/>
      <c r="F15" s="116">
        <f>F13+(H14/5280)</f>
        <v>3.0813636363636361</v>
      </c>
      <c r="G15" s="115"/>
      <c r="H15" s="108"/>
      <c r="I15" s="115"/>
      <c r="J15" s="124"/>
      <c r="K15" s="124"/>
      <c r="L15" s="124"/>
      <c r="M15" s="65"/>
      <c r="N15" s="65"/>
      <c r="O15" s="107"/>
      <c r="P15" s="108"/>
      <c r="Q15" s="108"/>
      <c r="R15" s="109"/>
      <c r="S15" s="181"/>
      <c r="T15" s="182"/>
      <c r="U15" s="181"/>
      <c r="V15" s="182"/>
    </row>
    <row r="16" spans="1:22" ht="15" customHeight="1" x14ac:dyDescent="0.2">
      <c r="A16" s="132"/>
      <c r="B16" s="117"/>
      <c r="C16" s="108"/>
      <c r="D16" s="108"/>
      <c r="E16" s="108"/>
      <c r="F16" s="116"/>
      <c r="G16" s="115"/>
      <c r="H16" s="108"/>
      <c r="I16" s="115"/>
      <c r="J16" s="124">
        <f>F17-F15</f>
        <v>0.50431818181818189</v>
      </c>
      <c r="K16" s="124"/>
      <c r="L16" s="133">
        <f>ROUND(J16*5280,-1)</f>
        <v>2660</v>
      </c>
      <c r="M16" s="65"/>
      <c r="N16" s="65"/>
      <c r="O16" s="167">
        <v>0</v>
      </c>
      <c r="P16" s="168"/>
      <c r="Q16" s="168">
        <v>1</v>
      </c>
      <c r="R16" s="169"/>
      <c r="S16" s="181"/>
      <c r="T16" s="182"/>
      <c r="U16" s="181"/>
      <c r="V16" s="182"/>
    </row>
    <row r="17" spans="1:25" ht="15" customHeight="1" x14ac:dyDescent="0.2">
      <c r="A17" s="132"/>
      <c r="B17" s="121" t="s">
        <v>171</v>
      </c>
      <c r="C17" s="115"/>
      <c r="D17" s="115"/>
      <c r="E17" s="115"/>
      <c r="F17" s="116">
        <f>(F15+F19)/2</f>
        <v>3.585681818181818</v>
      </c>
      <c r="G17" s="115"/>
      <c r="H17" s="108"/>
      <c r="I17" s="115"/>
      <c r="J17" s="124"/>
      <c r="K17" s="124"/>
      <c r="L17" s="124"/>
      <c r="M17" s="65"/>
      <c r="N17" s="65"/>
      <c r="O17" s="107"/>
      <c r="P17" s="108"/>
      <c r="Q17" s="108"/>
      <c r="R17" s="109"/>
      <c r="S17" s="181"/>
      <c r="T17" s="182"/>
      <c r="U17" s="181"/>
      <c r="V17" s="182"/>
    </row>
    <row r="18" spans="1:25" ht="15" customHeight="1" x14ac:dyDescent="0.2">
      <c r="A18" s="132"/>
      <c r="B18" s="117"/>
      <c r="C18" s="108"/>
      <c r="D18" s="108"/>
      <c r="E18" s="108"/>
      <c r="F18" s="108"/>
      <c r="G18" s="115"/>
      <c r="H18" s="108"/>
      <c r="I18" s="115"/>
      <c r="J18" s="124">
        <f>F19-F17</f>
        <v>0.50431818181818189</v>
      </c>
      <c r="K18" s="124"/>
      <c r="L18" s="133">
        <f>ROUND(J18*5280,-1)</f>
        <v>2660</v>
      </c>
      <c r="M18" s="65"/>
      <c r="N18" s="65"/>
      <c r="O18" s="167">
        <v>0</v>
      </c>
      <c r="P18" s="168"/>
      <c r="Q18" s="168">
        <v>1</v>
      </c>
      <c r="R18" s="169"/>
      <c r="S18" s="181"/>
      <c r="T18" s="182"/>
      <c r="U18" s="181"/>
      <c r="V18" s="182"/>
      <c r="W18" s="21"/>
    </row>
    <row r="19" spans="1:25" ht="15" customHeight="1" x14ac:dyDescent="0.2">
      <c r="A19" s="66"/>
      <c r="B19" s="115" t="s">
        <v>82</v>
      </c>
      <c r="C19" s="115"/>
      <c r="D19" s="115"/>
      <c r="E19" s="115"/>
      <c r="F19" s="116">
        <v>4.09</v>
      </c>
      <c r="G19" s="115"/>
      <c r="H19" s="108"/>
      <c r="I19" s="108"/>
      <c r="J19" s="124"/>
      <c r="K19" s="124"/>
      <c r="L19" s="124"/>
      <c r="M19" s="65"/>
      <c r="N19" s="65"/>
      <c r="O19" s="107"/>
      <c r="P19" s="108"/>
      <c r="Q19" s="108"/>
      <c r="R19" s="109"/>
      <c r="S19" s="181"/>
      <c r="T19" s="182"/>
      <c r="U19" s="181"/>
      <c r="V19" s="182"/>
      <c r="W19" s="60"/>
      <c r="X19" s="60"/>
    </row>
    <row r="20" spans="1:25" ht="15.75" customHeight="1" x14ac:dyDescent="0.25">
      <c r="A20" s="134" t="s">
        <v>25</v>
      </c>
      <c r="B20" s="115"/>
      <c r="C20" s="115"/>
      <c r="D20" s="115"/>
      <c r="E20" s="115"/>
      <c r="F20" s="65"/>
      <c r="G20" s="115"/>
      <c r="H20" s="108"/>
      <c r="I20" s="108"/>
      <c r="J20" s="124"/>
      <c r="K20" s="124"/>
      <c r="L20" s="124"/>
      <c r="M20" s="65"/>
      <c r="N20" s="122">
        <f>SUM(J14:J18)</f>
        <v>1.0086363636363638</v>
      </c>
      <c r="O20" s="153">
        <v>0</v>
      </c>
      <c r="P20" s="154"/>
      <c r="Q20" s="154">
        <v>1</v>
      </c>
      <c r="R20" s="155"/>
      <c r="S20" s="181"/>
      <c r="T20" s="182"/>
      <c r="U20" s="181"/>
      <c r="V20" s="182"/>
      <c r="W20" s="60"/>
      <c r="X20" s="60"/>
    </row>
    <row r="21" spans="1:25" ht="15" customHeight="1" x14ac:dyDescent="0.2">
      <c r="A21" s="66"/>
      <c r="B21" s="115"/>
      <c r="C21" s="115"/>
      <c r="D21" s="115"/>
      <c r="E21" s="115"/>
      <c r="F21" s="65"/>
      <c r="G21" s="115"/>
      <c r="H21" s="108"/>
      <c r="I21" s="108"/>
      <c r="J21" s="124"/>
      <c r="K21" s="124"/>
      <c r="L21" s="124"/>
      <c r="M21" s="65"/>
      <c r="N21" s="65"/>
      <c r="O21" s="110"/>
      <c r="P21" s="105"/>
      <c r="Q21" s="105"/>
      <c r="R21" s="106"/>
      <c r="S21" s="181"/>
      <c r="T21" s="182"/>
      <c r="U21" s="181"/>
      <c r="V21" s="182"/>
      <c r="W21" s="60"/>
      <c r="X21" s="60"/>
    </row>
    <row r="22" spans="1:25" ht="18" customHeight="1" x14ac:dyDescent="0.25">
      <c r="A22" s="135" t="s">
        <v>82</v>
      </c>
      <c r="B22" s="114"/>
      <c r="C22" s="73"/>
      <c r="D22" s="115"/>
      <c r="E22" s="115"/>
      <c r="F22" s="65"/>
      <c r="G22" s="115"/>
      <c r="H22" s="108"/>
      <c r="I22" s="108"/>
      <c r="J22" s="124"/>
      <c r="K22" s="124"/>
      <c r="L22" s="124"/>
      <c r="M22" s="65"/>
      <c r="N22" s="65"/>
      <c r="O22" s="110"/>
      <c r="P22" s="105"/>
      <c r="Q22" s="105"/>
      <c r="R22" s="106"/>
      <c r="S22" s="181"/>
      <c r="T22" s="182"/>
      <c r="U22" s="181"/>
      <c r="V22" s="182"/>
      <c r="W22" s="60"/>
      <c r="X22" s="60"/>
    </row>
    <row r="23" spans="1:25" ht="15" customHeight="1" x14ac:dyDescent="0.2">
      <c r="A23" s="132"/>
      <c r="B23" s="117" t="s">
        <v>135</v>
      </c>
      <c r="C23" s="108"/>
      <c r="D23" s="115"/>
      <c r="E23" s="115"/>
      <c r="F23" s="65">
        <v>26.1</v>
      </c>
      <c r="G23" s="115"/>
      <c r="H23" s="108"/>
      <c r="I23" s="108"/>
      <c r="J23" s="124"/>
      <c r="K23" s="124"/>
      <c r="L23" s="124"/>
      <c r="M23" s="65"/>
      <c r="N23" s="65"/>
      <c r="O23" s="110"/>
      <c r="P23" s="105"/>
      <c r="Q23" s="105"/>
      <c r="R23" s="106"/>
      <c r="S23" s="181"/>
      <c r="T23" s="182"/>
      <c r="U23" s="181"/>
      <c r="V23" s="182"/>
      <c r="W23" s="60"/>
      <c r="X23" s="60"/>
    </row>
    <row r="24" spans="1:25" ht="15" customHeight="1" x14ac:dyDescent="0.2">
      <c r="A24" s="66"/>
      <c r="B24" s="115"/>
      <c r="C24" s="115"/>
      <c r="D24" s="115"/>
      <c r="E24" s="115"/>
      <c r="F24" s="108"/>
      <c r="G24" s="115"/>
      <c r="H24" s="108">
        <v>1480</v>
      </c>
      <c r="I24" s="108"/>
      <c r="J24" s="124">
        <f>F23-F25</f>
        <v>0.28030303030303116</v>
      </c>
      <c r="K24" s="124"/>
      <c r="L24" s="133">
        <f>ROUND(J24*5280,-1)</f>
        <v>1480</v>
      </c>
      <c r="M24" s="65"/>
      <c r="N24" s="65"/>
      <c r="O24" s="167">
        <v>0</v>
      </c>
      <c r="P24" s="168"/>
      <c r="Q24" s="168">
        <v>1</v>
      </c>
      <c r="R24" s="169"/>
      <c r="S24" s="181"/>
      <c r="T24" s="182"/>
      <c r="U24" s="181"/>
      <c r="V24" s="182"/>
      <c r="W24" s="60"/>
      <c r="X24" s="60"/>
    </row>
    <row r="25" spans="1:25" ht="15" customHeight="1" x14ac:dyDescent="0.3">
      <c r="A25" s="66"/>
      <c r="B25" s="117" t="s">
        <v>177</v>
      </c>
      <c r="C25" s="108"/>
      <c r="D25" s="115"/>
      <c r="E25" s="115"/>
      <c r="F25" s="116">
        <f>F23-(H24/5280)</f>
        <v>25.81969696969697</v>
      </c>
      <c r="G25" s="115"/>
      <c r="H25" s="108"/>
      <c r="I25" s="108"/>
      <c r="J25" s="124"/>
      <c r="K25" s="124"/>
      <c r="L25" s="124"/>
      <c r="M25" s="65"/>
      <c r="N25" s="65"/>
      <c r="O25" s="110"/>
      <c r="P25" s="105"/>
      <c r="Q25" s="105"/>
      <c r="R25" s="106"/>
      <c r="S25" s="181"/>
      <c r="T25" s="182"/>
      <c r="U25" s="181"/>
      <c r="V25" s="182"/>
      <c r="W25" s="60"/>
      <c r="Y25" s="139"/>
    </row>
    <row r="26" spans="1:25" ht="15" customHeight="1" x14ac:dyDescent="0.2">
      <c r="A26" s="66"/>
      <c r="B26" s="115"/>
      <c r="C26" s="115"/>
      <c r="D26" s="115"/>
      <c r="E26" s="115"/>
      <c r="F26" s="65"/>
      <c r="G26" s="115"/>
      <c r="H26" s="108"/>
      <c r="I26" s="108"/>
      <c r="J26" s="124">
        <f>F25-F27</f>
        <v>0.70969696969697083</v>
      </c>
      <c r="K26" s="65"/>
      <c r="L26" s="133">
        <f>ROUND(J26*5280,-1)</f>
        <v>3750</v>
      </c>
      <c r="M26" s="65"/>
      <c r="N26" s="65"/>
      <c r="O26" s="167">
        <v>0</v>
      </c>
      <c r="P26" s="168"/>
      <c r="Q26" s="168">
        <v>1</v>
      </c>
      <c r="R26" s="169"/>
      <c r="S26" s="181"/>
      <c r="T26" s="182"/>
      <c r="U26" s="181"/>
      <c r="V26" s="182"/>
      <c r="W26" s="60"/>
      <c r="X26" s="60"/>
    </row>
    <row r="27" spans="1:25" ht="15" customHeight="1" x14ac:dyDescent="0.2">
      <c r="A27" s="66"/>
      <c r="B27" s="115" t="s">
        <v>174</v>
      </c>
      <c r="C27" s="115"/>
      <c r="D27" s="115"/>
      <c r="E27" s="115"/>
      <c r="F27" s="65">
        <v>25.11</v>
      </c>
      <c r="G27" s="115"/>
      <c r="H27" s="108"/>
      <c r="I27" s="115"/>
      <c r="J27" s="120"/>
      <c r="K27" s="120"/>
      <c r="L27" s="120"/>
      <c r="M27" s="120"/>
      <c r="N27" s="120"/>
      <c r="O27" s="66"/>
      <c r="P27" s="115"/>
      <c r="Q27" s="115"/>
      <c r="R27" s="119"/>
      <c r="S27" s="181"/>
      <c r="T27" s="182"/>
      <c r="U27" s="181"/>
      <c r="V27" s="182"/>
    </row>
    <row r="28" spans="1:25" ht="15" customHeight="1" x14ac:dyDescent="0.2">
      <c r="A28" s="66"/>
      <c r="B28" s="115"/>
      <c r="C28" s="115"/>
      <c r="D28" s="115"/>
      <c r="E28" s="115"/>
      <c r="F28" s="65"/>
      <c r="G28" s="115"/>
      <c r="H28" s="108"/>
      <c r="I28" s="108"/>
      <c r="J28" s="124">
        <f>F27-F29</f>
        <v>0.5</v>
      </c>
      <c r="K28" s="65"/>
      <c r="L28" s="133">
        <f>ROUND(J28*5280,-1)</f>
        <v>2640</v>
      </c>
      <c r="M28" s="65"/>
      <c r="N28" s="65"/>
      <c r="O28" s="167">
        <v>1</v>
      </c>
      <c r="P28" s="168"/>
      <c r="Q28" s="168">
        <v>0</v>
      </c>
      <c r="R28" s="169"/>
      <c r="S28" s="181"/>
      <c r="T28" s="182"/>
      <c r="U28" s="181"/>
      <c r="V28" s="182"/>
    </row>
    <row r="29" spans="1:25" ht="15" customHeight="1" x14ac:dyDescent="0.2">
      <c r="A29" s="66"/>
      <c r="B29" s="115" t="s">
        <v>175</v>
      </c>
      <c r="C29" s="115"/>
      <c r="D29" s="115"/>
      <c r="E29" s="115"/>
      <c r="F29" s="65">
        <v>24.61</v>
      </c>
      <c r="G29" s="115"/>
      <c r="H29" s="108"/>
      <c r="I29" s="115"/>
      <c r="J29" s="120"/>
      <c r="K29" s="120"/>
      <c r="L29" s="120"/>
      <c r="M29" s="120"/>
      <c r="N29" s="120"/>
      <c r="O29" s="66"/>
      <c r="P29" s="115"/>
      <c r="Q29" s="115"/>
      <c r="R29" s="119"/>
      <c r="S29" s="181"/>
      <c r="T29" s="182"/>
      <c r="U29" s="181"/>
      <c r="V29" s="182"/>
    </row>
    <row r="30" spans="1:25" ht="15" customHeight="1" x14ac:dyDescent="0.2">
      <c r="A30" s="66"/>
      <c r="B30" s="115"/>
      <c r="C30" s="115"/>
      <c r="D30" s="115"/>
      <c r="E30" s="115"/>
      <c r="F30" s="65"/>
      <c r="G30" s="115"/>
      <c r="H30" s="108">
        <v>500</v>
      </c>
      <c r="I30" s="108"/>
      <c r="J30" s="124">
        <f>F29-F31</f>
        <v>9.4696969696968836E-2</v>
      </c>
      <c r="K30" s="65"/>
      <c r="L30" s="133">
        <f>ROUND(J30*5280,-1)</f>
        <v>500</v>
      </c>
      <c r="M30" s="65"/>
      <c r="N30" s="65"/>
      <c r="O30" s="167">
        <v>1</v>
      </c>
      <c r="P30" s="168"/>
      <c r="Q30" s="168">
        <v>0</v>
      </c>
      <c r="R30" s="169"/>
      <c r="S30" s="181"/>
      <c r="T30" s="182"/>
      <c r="U30" s="181"/>
      <c r="V30" s="182"/>
    </row>
    <row r="31" spans="1:25" ht="15" customHeight="1" x14ac:dyDescent="0.2">
      <c r="A31" s="66"/>
      <c r="B31" s="115" t="s">
        <v>176</v>
      </c>
      <c r="C31" s="115"/>
      <c r="D31" s="115"/>
      <c r="E31" s="115"/>
      <c r="F31" s="116">
        <f>F29-(H30/5280)</f>
        <v>24.515303030303031</v>
      </c>
      <c r="G31" s="115"/>
      <c r="H31" s="108"/>
      <c r="I31" s="115"/>
      <c r="J31" s="120"/>
      <c r="K31" s="120"/>
      <c r="L31" s="120"/>
      <c r="M31" s="120"/>
      <c r="N31" s="120"/>
      <c r="O31" s="66"/>
      <c r="P31" s="115"/>
      <c r="Q31" s="115"/>
      <c r="R31" s="119"/>
      <c r="S31" s="181"/>
      <c r="T31" s="182"/>
      <c r="U31" s="181"/>
      <c r="V31" s="182"/>
    </row>
    <row r="32" spans="1:25" ht="15.75" customHeight="1" x14ac:dyDescent="0.25">
      <c r="A32" s="134" t="s">
        <v>25</v>
      </c>
      <c r="B32" s="115"/>
      <c r="C32" s="115"/>
      <c r="D32" s="115"/>
      <c r="E32" s="115"/>
      <c r="F32" s="65"/>
      <c r="G32" s="115"/>
      <c r="H32" s="108"/>
      <c r="I32" s="108"/>
      <c r="J32" s="124"/>
      <c r="K32" s="124"/>
      <c r="L32" s="124"/>
      <c r="M32" s="65"/>
      <c r="N32" s="122">
        <f>SUM(J24:J30)</f>
        <v>1.5846969696969708</v>
      </c>
      <c r="O32" s="153">
        <f>(O24*J24+O26*J26+O28*J28+O30*J30)/N32</f>
        <v>0.37527488287599114</v>
      </c>
      <c r="P32" s="154"/>
      <c r="Q32" s="154">
        <f>(Q24*J24+Q26*J26+Q28*J28+Q30*J30)/N32</f>
        <v>0.6247251171240088</v>
      </c>
      <c r="R32" s="155"/>
      <c r="S32" s="181"/>
      <c r="T32" s="182"/>
      <c r="U32" s="181"/>
      <c r="V32" s="182"/>
    </row>
    <row r="33" spans="1:22" ht="12.75" customHeight="1" x14ac:dyDescent="0.2">
      <c r="A33" s="68"/>
      <c r="B33" s="21"/>
      <c r="C33" s="21"/>
      <c r="D33" s="21"/>
      <c r="E33" s="21"/>
      <c r="F33" s="30"/>
      <c r="G33" s="21"/>
      <c r="H33" s="30"/>
      <c r="I33" s="21"/>
      <c r="J33" s="21"/>
      <c r="K33" s="21"/>
      <c r="L33" s="21"/>
      <c r="M33" s="21"/>
      <c r="N33" s="21"/>
      <c r="O33" s="68"/>
      <c r="P33" s="21"/>
      <c r="Q33" s="21"/>
      <c r="R33" s="69"/>
      <c r="S33" s="181"/>
      <c r="T33" s="182"/>
      <c r="U33" s="181"/>
      <c r="V33" s="182"/>
    </row>
    <row r="34" spans="1:22" ht="18" customHeight="1" x14ac:dyDescent="0.25">
      <c r="A34" s="135" t="s">
        <v>151</v>
      </c>
      <c r="B34" s="114"/>
      <c r="C34" s="73"/>
      <c r="D34" s="73"/>
      <c r="E34" s="73"/>
      <c r="F34" s="73"/>
      <c r="G34" s="21"/>
      <c r="H34" s="21"/>
      <c r="I34" s="64"/>
      <c r="J34" s="123"/>
      <c r="K34" s="123"/>
      <c r="L34" s="123"/>
      <c r="M34" s="73"/>
      <c r="N34" s="73"/>
      <c r="O34" s="68"/>
      <c r="P34" s="21"/>
      <c r="Q34" s="21"/>
      <c r="R34" s="69"/>
      <c r="S34" s="181"/>
      <c r="T34" s="182"/>
      <c r="U34" s="181"/>
      <c r="V34" s="182"/>
    </row>
    <row r="35" spans="1:22" ht="15" customHeight="1" x14ac:dyDescent="0.2">
      <c r="A35" s="132"/>
      <c r="B35" s="117" t="s">
        <v>82</v>
      </c>
      <c r="C35" s="108"/>
      <c r="D35" s="108"/>
      <c r="E35" s="108"/>
      <c r="F35" s="65">
        <v>0</v>
      </c>
      <c r="G35" s="115"/>
      <c r="H35" s="115"/>
      <c r="I35" s="126"/>
      <c r="J35" s="127"/>
      <c r="K35" s="127"/>
      <c r="L35" s="127"/>
      <c r="M35" s="128"/>
      <c r="N35" s="128"/>
      <c r="O35" s="68"/>
      <c r="P35" s="21"/>
      <c r="Q35" s="21"/>
      <c r="R35" s="69"/>
      <c r="S35" s="181"/>
      <c r="T35" s="182"/>
      <c r="U35" s="181"/>
      <c r="V35" s="182"/>
    </row>
    <row r="36" spans="1:22" ht="15" customHeight="1" x14ac:dyDescent="0.2">
      <c r="A36" s="132"/>
      <c r="B36" s="117"/>
      <c r="C36" s="108"/>
      <c r="D36" s="108"/>
      <c r="E36" s="108"/>
      <c r="F36" s="65"/>
      <c r="G36" s="115"/>
      <c r="H36" s="108">
        <v>1390</v>
      </c>
      <c r="I36" s="126"/>
      <c r="J36" s="124">
        <f>F37-F35</f>
        <v>0.26325757575757575</v>
      </c>
      <c r="K36" s="124"/>
      <c r="L36" s="133">
        <f>ROUND(J36*5280,-1)</f>
        <v>1390</v>
      </c>
      <c r="M36" s="128"/>
      <c r="N36" s="128"/>
      <c r="O36" s="167">
        <v>1</v>
      </c>
      <c r="P36" s="168"/>
      <c r="Q36" s="168">
        <v>0</v>
      </c>
      <c r="R36" s="169"/>
      <c r="S36" s="181"/>
      <c r="T36" s="182"/>
      <c r="U36" s="181"/>
      <c r="V36" s="182"/>
    </row>
    <row r="37" spans="1:22" ht="15" customHeight="1" x14ac:dyDescent="0.2">
      <c r="A37" s="132"/>
      <c r="B37" s="117" t="s">
        <v>169</v>
      </c>
      <c r="C37" s="108"/>
      <c r="D37" s="108"/>
      <c r="E37" s="108"/>
      <c r="F37" s="65">
        <f>F35+(H36/5280)</f>
        <v>0.26325757575757575</v>
      </c>
      <c r="G37" s="115"/>
      <c r="H37" s="108"/>
      <c r="I37" s="126"/>
      <c r="J37" s="127"/>
      <c r="K37" s="127"/>
      <c r="L37" s="127"/>
      <c r="M37" s="128"/>
      <c r="N37" s="128"/>
      <c r="O37" s="68"/>
      <c r="P37" s="21"/>
      <c r="Q37" s="21"/>
      <c r="R37" s="69"/>
      <c r="S37" s="181"/>
      <c r="T37" s="182"/>
      <c r="U37" s="181"/>
      <c r="V37" s="182"/>
    </row>
    <row r="38" spans="1:22" ht="15.75" customHeight="1" x14ac:dyDescent="0.25">
      <c r="A38" s="134" t="s">
        <v>25</v>
      </c>
      <c r="B38" s="115"/>
      <c r="C38" s="115"/>
      <c r="D38" s="115"/>
      <c r="E38" s="115"/>
      <c r="F38" s="65"/>
      <c r="G38" s="115"/>
      <c r="H38" s="108"/>
      <c r="I38" s="125"/>
      <c r="J38" s="127"/>
      <c r="K38" s="127"/>
      <c r="L38" s="127"/>
      <c r="M38" s="128"/>
      <c r="N38" s="122">
        <f>SUM(J36:J36)</f>
        <v>0.26325757575757575</v>
      </c>
      <c r="O38" s="153">
        <v>1</v>
      </c>
      <c r="P38" s="154"/>
      <c r="Q38" s="154">
        <v>0</v>
      </c>
      <c r="R38" s="155"/>
      <c r="S38" s="181"/>
      <c r="T38" s="182"/>
      <c r="U38" s="181"/>
      <c r="V38" s="182"/>
    </row>
    <row r="39" spans="1:22" ht="12.75" customHeight="1" x14ac:dyDescent="0.2">
      <c r="A39" s="7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70"/>
      <c r="P39" s="11"/>
      <c r="Q39" s="11"/>
      <c r="R39" s="71"/>
      <c r="S39" s="183"/>
      <c r="T39" s="184"/>
      <c r="U39" s="183"/>
      <c r="V39" s="184"/>
    </row>
    <row r="40" spans="1:22" x14ac:dyDescent="0.2">
      <c r="A40" s="157" t="s">
        <v>181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61">
        <f>SUM(N20:N38)</f>
        <v>2.8565909090909103</v>
      </c>
      <c r="O40" s="163"/>
      <c r="P40" s="163"/>
      <c r="Q40" s="163"/>
      <c r="R40" s="163"/>
      <c r="S40" s="163"/>
      <c r="T40" s="163"/>
      <c r="U40" s="163"/>
      <c r="V40" s="164"/>
    </row>
    <row r="41" spans="1:22" ht="15.75" customHeight="1" x14ac:dyDescent="0.2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2"/>
      <c r="O41" s="165"/>
      <c r="P41" s="165"/>
      <c r="Q41" s="165"/>
      <c r="R41" s="165"/>
      <c r="S41" s="165"/>
      <c r="T41" s="165"/>
      <c r="U41" s="165"/>
      <c r="V41" s="166"/>
    </row>
  </sheetData>
  <mergeCells count="36">
    <mergeCell ref="A6:F6"/>
    <mergeCell ref="J10:L10"/>
    <mergeCell ref="O16:P16"/>
    <mergeCell ref="Q16:R16"/>
    <mergeCell ref="O18:P18"/>
    <mergeCell ref="Q18:R18"/>
    <mergeCell ref="Q28:R28"/>
    <mergeCell ref="O9:R10"/>
    <mergeCell ref="S11:T11"/>
    <mergeCell ref="U11:V11"/>
    <mergeCell ref="O11:P11"/>
    <mergeCell ref="Q11:R11"/>
    <mergeCell ref="S9:V10"/>
    <mergeCell ref="O24:P24"/>
    <mergeCell ref="Q24:R24"/>
    <mergeCell ref="O26:P26"/>
    <mergeCell ref="Q26:R26"/>
    <mergeCell ref="S12:T39"/>
    <mergeCell ref="U12:V39"/>
    <mergeCell ref="O28:P28"/>
    <mergeCell ref="O36:P36"/>
    <mergeCell ref="Q36:R36"/>
    <mergeCell ref="A40:M41"/>
    <mergeCell ref="N40:N41"/>
    <mergeCell ref="O40:V41"/>
    <mergeCell ref="O30:P30"/>
    <mergeCell ref="Q30:R30"/>
    <mergeCell ref="O38:P38"/>
    <mergeCell ref="Q38:R38"/>
    <mergeCell ref="O32:P32"/>
    <mergeCell ref="Q32:R32"/>
    <mergeCell ref="O1:R1"/>
    <mergeCell ref="O4:R4"/>
    <mergeCell ref="O20:P20"/>
    <mergeCell ref="Q20:R20"/>
    <mergeCell ref="O2:S2"/>
  </mergeCells>
  <printOptions gridLines="1"/>
  <pageMargins left="0.75" right="0.75" top="1" bottom="1" header="0.5" footer="0.5"/>
  <pageSetup scale="60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Lightner - 2-Lane Resurfacing</vt:lpstr>
      <vt:lpstr>Lightner - 3-Lane Widening</vt:lpstr>
      <vt:lpstr>N Dixie - 3-Lane Resurfacing</vt:lpstr>
      <vt:lpstr>N Dixie - 3-Lane Widening</vt:lpstr>
      <vt:lpstr>N Dixie - SB Resurfacing</vt:lpstr>
      <vt:lpstr>N Dixie - NB Widening</vt:lpstr>
      <vt:lpstr>Northwoods Blvd</vt:lpstr>
      <vt:lpstr>Cost Totals</vt:lpstr>
      <vt:lpstr>Jurisdictional Limits</vt:lpstr>
      <vt:lpstr>Budget Summary</vt:lpstr>
    </vt:vector>
  </TitlesOfParts>
  <Company>CH2M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CH2M HILL</dc:creator>
  <cp:lastModifiedBy>Splawinski, Rick</cp:lastModifiedBy>
  <cp:lastPrinted>2021-10-28T19:32:51Z</cp:lastPrinted>
  <dcterms:created xsi:type="dcterms:W3CDTF">2007-03-07T20:05:35Z</dcterms:created>
  <dcterms:modified xsi:type="dcterms:W3CDTF">2021-10-29T19:37:28Z</dcterms:modified>
</cp:coreProperties>
</file>